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2025\MHEDA\Prep\Final Surveys\"/>
    </mc:Choice>
  </mc:AlternateContent>
  <xr:revisionPtr revIDLastSave="0" documentId="8_{812A9449-4AB1-48F7-872F-FDD281B1E968}" xr6:coauthVersionLast="47" xr6:coauthVersionMax="47" xr10:uidLastSave="{00000000-0000-0000-0000-000000000000}"/>
  <workbookProtection workbookPassword="CF42" lockStructure="1"/>
  <bookViews>
    <workbookView xWindow="-120" yWindow="-120" windowWidth="29040" windowHeight="15720" tabRatio="587" xr2:uid="{00000000-000D-0000-FFFF-FFFF00000000}"/>
  </bookViews>
  <sheets>
    <sheet name="Engr Sys" sheetId="1" r:id="rId1"/>
    <sheet name="Confidentiality" sheetId="12" r:id="rId2"/>
    <sheet name="Data" sheetId="18" state="hidden" r:id="rId3"/>
  </sheets>
  <definedNames>
    <definedName name="AAP">Data!$A$63</definedName>
    <definedName name="AAR">Data!$A$61</definedName>
    <definedName name="AD">'Engr Sys'!$T$66</definedName>
    <definedName name="Add">Data!$B$69</definedName>
    <definedName name="Addr1">'Engr Sys'!$P$21</definedName>
    <definedName name="Addr2">'Engr Sys'!$P$22</definedName>
    <definedName name="AgeNew">Data!$A$64</definedName>
    <definedName name="AgeParts">Data!$A$66</definedName>
    <definedName name="AgeSH">Data!$A$67</definedName>
    <definedName name="AgeUsed">Data!$A$65</definedName>
    <definedName name="AP">Data!$A$85</definedName>
    <definedName name="AR">Data!$A$72</definedName>
    <definedName name="AVG">Data!$A$62</definedName>
    <definedName name="AVG_2">Data!$A$202</definedName>
    <definedName name="BENE">'Engr Sys'!$T$53</definedName>
    <definedName name="BENE_Pct">Data!$B$180</definedName>
    <definedName name="Burden_Pct">Data!$B$181</definedName>
    <definedName name="CA">Data!$A$79</definedName>
    <definedName name="CA_2">Data!$A$204</definedName>
    <definedName name="Cash">Data!$A$71</definedName>
    <definedName name="City">'Engr Sys'!$P$23</definedName>
    <definedName name="CL">Data!$A$88</definedName>
    <definedName name="COGS">'Engr Sys'!$T$46</definedName>
    <definedName name="COGS_2">Data!$B$207</definedName>
    <definedName name="COGS_Counter">'Engr Sys'!$T$84</definedName>
    <definedName name="COGS_ES">'Engr Sys'!$T$83</definedName>
    <definedName name="COGS_Install">'Engr Sys'!$T$87</definedName>
    <definedName name="COGS_New">'Engr Sys'!$T$80</definedName>
    <definedName name="COGS_OTH">'Engr Sys'!$T$88</definedName>
    <definedName name="COGS_Rent">'Engr Sys'!$T$86</definedName>
    <definedName name="COGS_SH">'Engr Sys'!$T$82</definedName>
    <definedName name="COGS_SVC">'Engr Sys'!$T$85</definedName>
    <definedName name="COGS_Used">'Engr Sys'!$T$81</definedName>
    <definedName name="CSH">Data!$B$212</definedName>
    <definedName name="CUST">Data!$A$16</definedName>
    <definedName name="DownPmt">'Engr Sys'!$W$44</definedName>
    <definedName name="DPR">'Engr Sys'!$T$63</definedName>
    <definedName name="DROP">Data!$B$213</definedName>
    <definedName name="eaddr">'Engr Sys'!$P$27</definedName>
    <definedName name="Emp">'Engr Sys'!$T$40</definedName>
    <definedName name="EMP_Exec">'Engr Sys'!$T$33</definedName>
    <definedName name="EMP_Inside">'Engr Sys'!$T$35</definedName>
    <definedName name="EMP_Out">'Engr Sys'!$T$34</definedName>
    <definedName name="EMP_Parts">'Engr Sys'!$V$35</definedName>
    <definedName name="EMP_PM">'Engr Sys'!$T$36</definedName>
    <definedName name="EMP_Rental">'Engr Sys'!$T$36</definedName>
    <definedName name="EMP_SVC">'Engr Sys'!$V$36</definedName>
    <definedName name="EMP_Tech">'Engr Sys'!$T$37</definedName>
    <definedName name="EMP_WHS">'Engr Sys'!$T$38</definedName>
    <definedName name="End">Data!$A$70</definedName>
    <definedName name="EngSys">Data!$B$148</definedName>
    <definedName name="Eqty">Data!$A$91</definedName>
    <definedName name="Equip">Data!$A$97</definedName>
    <definedName name="FinalPmt">'Engr Sys'!$W$45</definedName>
    <definedName name="Fixed">Data!$A$82</definedName>
    <definedName name="GP">'Engr Sys'!$T$47</definedName>
    <definedName name="GP_2">Data!$B$208</definedName>
    <definedName name="GP_Counter">Data!$B$173</definedName>
    <definedName name="GP_ES">Data!$B$172</definedName>
    <definedName name="GP_Install">Data!$B$176</definedName>
    <definedName name="GP_New">Data!$B$169</definedName>
    <definedName name="GP_OTH">Data!$B$177</definedName>
    <definedName name="GP_Rent">Data!$B$175</definedName>
    <definedName name="GP_Repair">Data!$B$521</definedName>
    <definedName name="GP_SH">Data!$B$171</definedName>
    <definedName name="GP_SVC">Data!$B$174</definedName>
    <definedName name="GP_Used">Data!$B$170</definedName>
    <definedName name="GP_Warranty">Data!$B$523</definedName>
    <definedName name="GRP_INS">'Engr Sys'!$T$52</definedName>
    <definedName name="Grp_Pct">Data!$B$179</definedName>
    <definedName name="ID">'Engr Sys'!$T$17</definedName>
    <definedName name="Ins">'Engr Sys'!$T$62</definedName>
    <definedName name="Int">'Engr Sys'!$T$72</definedName>
    <definedName name="IntParts">Data!$A$17</definedName>
    <definedName name="IntSvc">Data!$A$18</definedName>
    <definedName name="Inv">Data!$A$77</definedName>
    <definedName name="INV_2">Data!$B$203</definedName>
    <definedName name="Liab">Data!$A$92</definedName>
    <definedName name="LIFO">Data!$A$68</definedName>
    <definedName name="Loan">Data!$A$90</definedName>
    <definedName name="LTL">Data!$A$89</definedName>
    <definedName name="LTrucks">Data!$B$147</definedName>
    <definedName name="MIS">'Engr Sys'!$T$65</definedName>
    <definedName name="Name">'Engr Sys'!$P$20</definedName>
    <definedName name="Net">'Engr Sys'!$T$76</definedName>
    <definedName name="NEWINV">Data!$A$73</definedName>
    <definedName name="NP">Data!$A$86</definedName>
    <definedName name="NS">'Engr Sys'!$T$45</definedName>
    <definedName name="NS_Counter">'Engr Sys'!$R$84</definedName>
    <definedName name="NS_ES">'Engr Sys'!$R$83</definedName>
    <definedName name="NS_Install">'Engr Sys'!$R$87</definedName>
    <definedName name="NS_New">'Engr Sys'!$R$80</definedName>
    <definedName name="NS_OTH">'Engr Sys'!$R$88</definedName>
    <definedName name="NS_RENT">'Engr Sys'!$R$86</definedName>
    <definedName name="NS_SH">'Engr Sys'!$R$82</definedName>
    <definedName name="NS_SVC">'Engr Sys'!$R$85</definedName>
    <definedName name="NS_Used">'Engr Sys'!$R$81</definedName>
    <definedName name="NW">Data!$A$93</definedName>
    <definedName name="NW_2">Data!$B$206</definedName>
    <definedName name="OC">'Engr Sys'!$T$59</definedName>
    <definedName name="OC_GA">Data!$A$191</definedName>
    <definedName name="OC_Parts">Data!$A$188</definedName>
    <definedName name="OC_Rental">Data!$A$190</definedName>
    <definedName name="OC_Sales">Data!$A$187</definedName>
    <definedName name="OC_SVC">Data!$A$189</definedName>
    <definedName name="Oca">Data!$A$78</definedName>
    <definedName name="Ocl">Data!$A$87</definedName>
    <definedName name="OCOGS">Data!$A$100</definedName>
    <definedName name="OE">'Engr Sys'!$T$67</definedName>
    <definedName name="OE_GA">Data!$A$196</definedName>
    <definedName name="OE_Parts">Data!$A$193</definedName>
    <definedName name="OE_Rental">Data!$A$195</definedName>
    <definedName name="OE_Sales">Data!$A$192</definedName>
    <definedName name="OE_SVC">Data!$A$194</definedName>
    <definedName name="Oemp">'Engr Sys'!$T$39</definedName>
    <definedName name="Oex">'Engr Sys'!$T$73</definedName>
    <definedName name="OFA">Data!$A$83</definedName>
    <definedName name="OI">'Engr Sys'!$T$71</definedName>
    <definedName name="OINV">Data!$A$76</definedName>
    <definedName name="OP">'Engr Sys'!$T$70</definedName>
    <definedName name="OP_2">Data!$B$209</definedName>
    <definedName name="OPROD">Data!$B$150</definedName>
    <definedName name="Org">Data!$V$27</definedName>
    <definedName name="OSAL">Data!$A$114</definedName>
    <definedName name="PA">'Engr Sys'!$T$54</definedName>
    <definedName name="PA_Adjust">Data!$B$110</definedName>
    <definedName name="PA_Exec">'Engr Sys'!$W$31</definedName>
    <definedName name="PA_GA">'Engr Sys'!$W$35</definedName>
    <definedName name="PA_Inside">'Engr Sys'!$W$33</definedName>
    <definedName name="PA_OTH">'Engr Sys'!$W$42</definedName>
    <definedName name="PA_Out">'Engr Sys'!$W$32</definedName>
    <definedName name="PA_Parts">'Engr Sys'!$W$40</definedName>
    <definedName name="PA_PM">'Engr Sys'!$W$36</definedName>
    <definedName name="PA_Rental">'Engr Sys'!$W$41</definedName>
    <definedName name="PA_Sales">'Engr Sys'!$W$34</definedName>
    <definedName name="PA_SVC">'Engr Sys'!$W$39</definedName>
    <definedName name="PA_Tech">'Engr Sys'!$W$37</definedName>
    <definedName name="PA_WHS">'Engr Sys'!$W$38</definedName>
    <definedName name="PARTSINV">Data!$A$75</definedName>
    <definedName name="PBT">'Engr Sys'!$T$74</definedName>
    <definedName name="PBT_2">Data!$B$210</definedName>
    <definedName name="PDF">'Engr Sys'!$P$28</definedName>
    <definedName name="Person">'Engr Sys'!$P$18</definedName>
    <definedName name="Phone">'Engr Sys'!$P$26</definedName>
    <definedName name="Prev">'Engr Sys'!$T$42</definedName>
    <definedName name="_xlnm.Print_Area" localSheetId="1">Confidentiality!$A$1:$K$39</definedName>
    <definedName name="_xlnm.Print_Area" localSheetId="2">Data!$A$1:$B$84</definedName>
    <definedName name="_xlnm.Print_Area" localSheetId="0">'Engr Sys'!$A$1:$T$89</definedName>
    <definedName name="PT">'Engr Sys'!$T$51</definedName>
    <definedName name="PT_Pct">Data!$B$178</definedName>
    <definedName name="Rent">'Engr Sys'!$T$58</definedName>
    <definedName name="RentalCost">Data!$A$99</definedName>
    <definedName name="RM">'Engr Sys'!$T$57</definedName>
    <definedName name="SAL">'Engr Sys'!$T$50</definedName>
    <definedName name="SAL_TOT">'Engr Sys'!$W$43</definedName>
    <definedName name="SH">Data!$B$149</definedName>
    <definedName name="State">'Engr Sys'!$P$24</definedName>
    <definedName name="STOCK">'Engr Sys'!$W$49</definedName>
    <definedName name="STunits">'Engr Sys'!$W$50</definedName>
    <definedName name="STutil">'Engr Sys'!$W$51</definedName>
    <definedName name="STvalue">'Engr Sys'!$W$52</definedName>
    <definedName name="SvcCalls">'Engr Sys'!$W$53</definedName>
    <definedName name="SvcJobs">'Engr Sys'!$W$54</definedName>
    <definedName name="SvcRecover">'Engr Sys'!$W$59</definedName>
    <definedName name="SvcVeh_">'Engr Sys'!$W$68</definedName>
    <definedName name="TA">Data!$A$84</definedName>
    <definedName name="TA_2">Data!$B$205</definedName>
    <definedName name="Tax">'Engr Sys'!$T$75</definedName>
    <definedName name="TE">'Engr Sys'!$T$69</definedName>
    <definedName name="TechApplied">'Engr Sys'!$W$46</definedName>
    <definedName name="TechBilled">'Engr Sys'!$W$47</definedName>
    <definedName name="TechPaid">'Engr Sys'!$W$48</definedName>
    <definedName name="TechWages">Data!$A$98</definedName>
    <definedName name="Tele">Data!$D$230</definedName>
    <definedName name="Title">'Engr Sys'!$P$19</definedName>
    <definedName name="TOE">'Engr Sys'!$T$68</definedName>
    <definedName name="TRN">'Engr Sys'!$T$64</definedName>
    <definedName name="USEDINV">Data!$A$74</definedName>
    <definedName name="UT">'Engr Sys'!$T$56</definedName>
    <definedName name="VEH">'Engr Sys'!$T$61</definedName>
    <definedName name="WHSCOGS">Data!$B$198</definedName>
    <definedName name="WHSGP">Data!$B$199</definedName>
    <definedName name="WHSNS">Data!$B$197</definedName>
    <definedName name="Yr">'Engr Sys'!$K$4</definedName>
    <definedName name="Zipcode">'Engr Sys'!$P$25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18" l="1"/>
  <c r="M2" i="18"/>
  <c r="L2" i="18"/>
  <c r="K2" i="18"/>
  <c r="J2" i="18"/>
  <c r="G2" i="18"/>
  <c r="E2" i="18"/>
  <c r="F2" i="18"/>
  <c r="C2" i="18"/>
  <c r="B625" i="18"/>
  <c r="B624" i="18"/>
  <c r="B623" i="18"/>
  <c r="B622" i="18"/>
  <c r="B621" i="18"/>
  <c r="B619" i="18"/>
  <c r="B617" i="18"/>
  <c r="B393" i="18"/>
  <c r="B384" i="18"/>
  <c r="B594" i="18"/>
  <c r="B595" i="18"/>
  <c r="B585" i="18"/>
  <c r="B469" i="18"/>
  <c r="B468" i="18"/>
  <c r="B467" i="18"/>
  <c r="B465" i="18"/>
  <c r="B435" i="18"/>
  <c r="B414" i="18"/>
  <c r="B614" i="18"/>
  <c r="B613" i="18"/>
  <c r="B612" i="18"/>
  <c r="B611" i="18"/>
  <c r="B610" i="18"/>
  <c r="B604" i="18"/>
  <c r="B592" i="18"/>
  <c r="B587" i="18"/>
  <c r="B588" i="18"/>
  <c r="B584" i="18"/>
  <c r="B574" i="18"/>
  <c r="B573" i="18"/>
  <c r="B572" i="18"/>
  <c r="B571" i="18"/>
  <c r="B569" i="18"/>
  <c r="B568" i="18"/>
  <c r="B567" i="18"/>
  <c r="B566" i="18"/>
  <c r="B565" i="18"/>
  <c r="B564" i="18"/>
  <c r="B563" i="18"/>
  <c r="B559" i="18"/>
  <c r="B558" i="18"/>
  <c r="B557" i="18"/>
  <c r="B552" i="18"/>
  <c r="B547" i="18"/>
  <c r="B548" i="18"/>
  <c r="B545" i="18"/>
  <c r="B538" i="18"/>
  <c r="B540" i="18"/>
  <c r="B541" i="18"/>
  <c r="B537" i="18"/>
  <c r="B527" i="18"/>
  <c r="B526" i="18"/>
  <c r="B512" i="18"/>
  <c r="B511" i="18"/>
  <c r="B499" i="18"/>
  <c r="B500" i="18"/>
  <c r="B497" i="18"/>
  <c r="B490" i="18"/>
  <c r="B492" i="18"/>
  <c r="B493" i="18"/>
  <c r="B489" i="18"/>
  <c r="B483" i="18"/>
  <c r="B482" i="18"/>
  <c r="B476" i="18"/>
  <c r="B475" i="18"/>
  <c r="B474" i="18"/>
  <c r="B473" i="18"/>
  <c r="B470" i="18"/>
  <c r="B464" i="18"/>
  <c r="B463" i="18"/>
  <c r="B462" i="18"/>
  <c r="B461" i="18"/>
  <c r="B456" i="18"/>
  <c r="B457" i="18"/>
  <c r="B448" i="18"/>
  <c r="B450" i="18"/>
  <c r="B451" i="18"/>
  <c r="B447" i="18"/>
  <c r="B439" i="18"/>
  <c r="B440" i="18"/>
  <c r="B443" i="18" s="1"/>
  <c r="B438" i="18"/>
  <c r="B437" i="18"/>
  <c r="B208" i="18"/>
  <c r="B258" i="18" s="1"/>
  <c r="B423" i="18"/>
  <c r="B425" i="18"/>
  <c r="B426" i="18"/>
  <c r="B422" i="18"/>
  <c r="B416" i="18"/>
  <c r="B417" i="18"/>
  <c r="B413" i="18"/>
  <c r="B412" i="18"/>
  <c r="B197" i="18"/>
  <c r="B234" i="18" s="1"/>
  <c r="B198" i="18"/>
  <c r="B233" i="18" s="1"/>
  <c r="B403" i="18"/>
  <c r="B404" i="18"/>
  <c r="B175" i="18"/>
  <c r="B397" i="18" s="1"/>
  <c r="B174" i="18"/>
  <c r="B396" i="18" s="1"/>
  <c r="B173" i="18"/>
  <c r="B392" i="18" s="1"/>
  <c r="B172" i="18"/>
  <c r="B390" i="18" s="1"/>
  <c r="B171" i="18"/>
  <c r="B389" i="18" s="1"/>
  <c r="B170" i="18"/>
  <c r="B388" i="18" s="1"/>
  <c r="B169" i="18"/>
  <c r="B387" i="18" s="1"/>
  <c r="B383" i="18"/>
  <c r="B382" i="18"/>
  <c r="B378" i="18"/>
  <c r="B377" i="18"/>
  <c r="B376" i="18"/>
  <c r="B375" i="18"/>
  <c r="B374" i="18"/>
  <c r="B373" i="18"/>
  <c r="B371" i="18"/>
  <c r="B370" i="18"/>
  <c r="B203" i="18"/>
  <c r="B224" i="18" s="1"/>
  <c r="B296" i="18"/>
  <c r="B295" i="18"/>
  <c r="B294" i="18"/>
  <c r="B291" i="18"/>
  <c r="B290" i="18"/>
  <c r="B286" i="18"/>
  <c r="B285" i="18"/>
  <c r="B284" i="18"/>
  <c r="B283" i="18"/>
  <c r="B282" i="18"/>
  <c r="B281" i="18"/>
  <c r="B280" i="18"/>
  <c r="B279" i="18"/>
  <c r="B278" i="18"/>
  <c r="B277" i="18"/>
  <c r="B276" i="18"/>
  <c r="B274" i="18"/>
  <c r="B273" i="18"/>
  <c r="B272" i="18"/>
  <c r="B268" i="18"/>
  <c r="B267" i="18"/>
  <c r="B265" i="18"/>
  <c r="B264" i="18"/>
  <c r="B263" i="18"/>
  <c r="B262" i="18"/>
  <c r="B261" i="18"/>
  <c r="B260" i="18"/>
  <c r="B259" i="18"/>
  <c r="B207" i="18"/>
  <c r="B257" i="18" s="1"/>
  <c r="B252" i="18"/>
  <c r="B236" i="18"/>
  <c r="B214" i="18"/>
  <c r="B211" i="18"/>
  <c r="B195" i="18"/>
  <c r="B194" i="18"/>
  <c r="B193" i="18"/>
  <c r="B192" i="18"/>
  <c r="B190" i="18"/>
  <c r="B189" i="18"/>
  <c r="B188" i="18"/>
  <c r="B187" i="18"/>
  <c r="B186" i="18"/>
  <c r="B184" i="18"/>
  <c r="B182" i="18"/>
  <c r="B176" i="18"/>
  <c r="B391" i="18" s="1"/>
  <c r="B146" i="18"/>
  <c r="B145" i="18"/>
  <c r="B140" i="18"/>
  <c r="B139" i="18"/>
  <c r="B138" i="18"/>
  <c r="B135" i="18"/>
  <c r="B130" i="18"/>
  <c r="B129" i="18"/>
  <c r="B128" i="18"/>
  <c r="B127" i="18"/>
  <c r="B126" i="18"/>
  <c r="B125" i="18"/>
  <c r="B124" i="18"/>
  <c r="B123" i="18"/>
  <c r="B122" i="18"/>
  <c r="B120" i="18"/>
  <c r="B118" i="18"/>
  <c r="B117" i="18"/>
  <c r="B116" i="18"/>
  <c r="B113" i="18"/>
  <c r="B112" i="18"/>
  <c r="B111" i="18"/>
  <c r="B109" i="18"/>
  <c r="B108" i="18"/>
  <c r="B105" i="18"/>
  <c r="B104" i="18"/>
  <c r="B103" i="18"/>
  <c r="B102" i="18"/>
  <c r="B101" i="18"/>
  <c r="B96" i="18"/>
  <c r="B95" i="18"/>
  <c r="B90" i="18"/>
  <c r="B89" i="18"/>
  <c r="B86" i="18"/>
  <c r="B82" i="18"/>
  <c r="B77" i="18"/>
  <c r="B76" i="18"/>
  <c r="B75" i="18"/>
  <c r="B74" i="18"/>
  <c r="B73" i="18"/>
  <c r="B70" i="18"/>
  <c r="B68" i="18"/>
  <c r="B62" i="18"/>
  <c r="B53" i="18"/>
  <c r="B52" i="18"/>
  <c r="B51" i="18"/>
  <c r="B50" i="18"/>
  <c r="B49" i="18"/>
  <c r="B48" i="18"/>
  <c r="B47" i="18"/>
  <c r="B46" i="18"/>
  <c r="B45" i="18"/>
  <c r="B44" i="18"/>
  <c r="B42" i="18"/>
  <c r="B41" i="18"/>
  <c r="B38" i="18"/>
  <c r="B37" i="18"/>
  <c r="B36" i="18"/>
  <c r="B33" i="18"/>
  <c r="B32" i="18"/>
  <c r="B31" i="18"/>
  <c r="B30" i="18"/>
  <c r="B27" i="18"/>
  <c r="B26" i="18"/>
  <c r="B25" i="18"/>
  <c r="B23" i="18"/>
  <c r="B22" i="18"/>
  <c r="B21" i="18"/>
  <c r="B20" i="18"/>
  <c r="B19" i="18"/>
  <c r="B15" i="18"/>
  <c r="B11" i="18"/>
  <c r="B3" i="18"/>
  <c r="B1" i="18"/>
  <c r="M44" i="1"/>
  <c r="T47" i="1"/>
  <c r="B40" i="18"/>
  <c r="B39" i="18"/>
  <c r="B178" i="18"/>
  <c r="R88" i="1"/>
  <c r="B154" i="18" s="1"/>
  <c r="T88" i="1"/>
  <c r="B164" i="18" s="1"/>
  <c r="R89" i="1"/>
  <c r="T89" i="1"/>
  <c r="L42" i="1"/>
  <c r="T40" i="1"/>
  <c r="B24" i="18" s="1"/>
  <c r="B253" i="18"/>
  <c r="B99" i="18"/>
  <c r="B196" i="18"/>
  <c r="B191" i="18"/>
  <c r="B254" i="18"/>
  <c r="B100" i="18"/>
  <c r="B245" i="18"/>
  <c r="B97" i="18"/>
  <c r="B98" i="18"/>
  <c r="B255" i="18"/>
  <c r="B256" i="18"/>
  <c r="B92" i="18"/>
  <c r="B78" i="18"/>
  <c r="B79" i="18"/>
  <c r="B91" i="18"/>
  <c r="B204" i="18"/>
  <c r="B241" i="18"/>
  <c r="B87" i="18"/>
  <c r="B88" i="18"/>
  <c r="B85" i="18"/>
  <c r="B231" i="18"/>
  <c r="B61" i="18"/>
  <c r="B479" i="18"/>
  <c r="B65" i="18"/>
  <c r="B478" i="18"/>
  <c r="B64" i="18"/>
  <c r="B83" i="18"/>
  <c r="B84" i="18"/>
  <c r="B205" i="18"/>
  <c r="B354" i="18" s="1"/>
  <c r="B355" i="18"/>
  <c r="B63" i="18"/>
  <c r="B66" i="18"/>
  <c r="B525" i="18"/>
  <c r="B72" i="18"/>
  <c r="B206" i="18"/>
  <c r="B67" i="18"/>
  <c r="B362" i="18"/>
  <c r="B359" i="18"/>
  <c r="B221" i="18"/>
  <c r="B347" i="18"/>
  <c r="B346" i="18"/>
  <c r="B361" i="18"/>
  <c r="B351" i="18"/>
  <c r="B216" i="18"/>
  <c r="B222" i="18"/>
  <c r="B239" i="18"/>
  <c r="B223" i="18"/>
  <c r="B71" i="18"/>
  <c r="B345" i="18"/>
  <c r="B202" i="18"/>
  <c r="B322" i="18" l="1"/>
  <c r="B162" i="18"/>
  <c r="B326" i="18"/>
  <c r="B306" i="18"/>
  <c r="B327" i="18"/>
  <c r="B320" i="18"/>
  <c r="B28" i="18"/>
  <c r="B303" i="18"/>
  <c r="B317" i="18"/>
  <c r="B308" i="18"/>
  <c r="B302" i="18"/>
  <c r="B168" i="18"/>
  <c r="B225" i="18"/>
  <c r="B161" i="18"/>
  <c r="B199" i="18"/>
  <c r="B408" i="18" s="1"/>
  <c r="B409" i="18" s="1"/>
  <c r="B166" i="18"/>
  <c r="B148" i="18"/>
  <c r="B156" i="18"/>
  <c r="B153" i="18"/>
  <c r="B151" i="18"/>
  <c r="B150" i="18"/>
  <c r="B159" i="18"/>
  <c r="B534" i="18"/>
  <c r="B158" i="18"/>
  <c r="B486" i="18"/>
  <c r="B163" i="18"/>
  <c r="B167" i="18"/>
  <c r="B165" i="18"/>
  <c r="B444" i="18"/>
  <c r="B155" i="18"/>
  <c r="B379" i="18"/>
  <c r="B405" i="18"/>
  <c r="B581" i="18"/>
  <c r="B430" i="18"/>
  <c r="B232" i="18"/>
  <c r="B149" i="18"/>
  <c r="B179" i="18"/>
  <c r="B360" i="18"/>
  <c r="B246" i="18"/>
  <c r="B348" i="18"/>
  <c r="B357" i="18"/>
  <c r="B365" i="18" s="1"/>
  <c r="B606" i="18"/>
  <c r="B157" i="18"/>
  <c r="T54" i="1"/>
  <c r="B250" i="18" s="1"/>
  <c r="B29" i="18"/>
  <c r="B560" i="18"/>
  <c r="B271" i="18"/>
  <c r="B110" i="18"/>
  <c r="B309" i="18" s="1"/>
  <c r="B353" i="18"/>
  <c r="B350" i="18"/>
  <c r="B226" i="18"/>
  <c r="B334" i="18"/>
  <c r="B319" i="18"/>
  <c r="B620" i="18"/>
  <c r="B337" i="18"/>
  <c r="B328" i="18"/>
  <c r="B305" i="18"/>
  <c r="B352" i="18"/>
  <c r="B247" i="18"/>
  <c r="B177" i="18"/>
  <c r="B398" i="18" s="1"/>
  <c r="B152" i="18"/>
  <c r="B115" i="18"/>
  <c r="B311" i="18"/>
  <c r="B399" i="18"/>
  <c r="B339" i="18"/>
  <c r="B329" i="18"/>
  <c r="B316" i="18"/>
  <c r="B321" i="18"/>
  <c r="B618" i="18"/>
  <c r="B180" i="18"/>
  <c r="B338" i="18"/>
  <c r="B304" i="18"/>
  <c r="B218" i="18"/>
  <c r="B356" i="18"/>
  <c r="B324" i="18"/>
  <c r="B323" i="18"/>
  <c r="B429" i="18"/>
  <c r="B310" i="18"/>
  <c r="B325" i="18"/>
  <c r="B358" i="18"/>
  <c r="B333" i="18"/>
  <c r="B315" i="18"/>
  <c r="B307" i="18"/>
  <c r="B314" i="18"/>
  <c r="B364" i="18"/>
  <c r="B363" i="18"/>
  <c r="B147" i="18"/>
  <c r="B160" i="18"/>
  <c r="B406" i="18" l="1"/>
  <c r="B266" i="18"/>
  <c r="B235" i="18"/>
  <c r="B181" i="18"/>
  <c r="B369" i="18" s="1"/>
  <c r="B248" i="18"/>
  <c r="B249" i="18"/>
  <c r="T69" i="1"/>
  <c r="B119" i="18"/>
  <c r="B318" i="18"/>
  <c r="B275" i="18"/>
  <c r="B546" i="18" l="1"/>
  <c r="B549" i="18" s="1"/>
  <c r="B550" i="18" s="1"/>
  <c r="B449" i="18"/>
  <c r="B452" i="18" s="1"/>
  <c r="B453" i="18" s="1"/>
  <c r="B593" i="18"/>
  <c r="B596" i="18" s="1"/>
  <c r="B597" i="18" s="1"/>
  <c r="B498" i="18"/>
  <c r="B501" i="18" s="1"/>
  <c r="B502" i="18" s="1"/>
  <c r="B415" i="18"/>
  <c r="B418" i="18" s="1"/>
  <c r="B419" i="18" s="1"/>
  <c r="B491" i="18"/>
  <c r="B494" i="18" s="1"/>
  <c r="B495" i="18" s="1"/>
  <c r="B586" i="18"/>
  <c r="B589" i="18" s="1"/>
  <c r="B590" i="18" s="1"/>
  <c r="B539" i="18"/>
  <c r="B542" i="18" s="1"/>
  <c r="B543" i="18" s="1"/>
  <c r="B455" i="18"/>
  <c r="B458" i="18" s="1"/>
  <c r="B459" i="18" s="1"/>
  <c r="B424" i="18"/>
  <c r="B427" i="18" s="1"/>
  <c r="T70" i="1"/>
  <c r="T74" i="1" s="1"/>
  <c r="B432" i="18"/>
  <c r="B134" i="18"/>
  <c r="B209" i="18"/>
  <c r="B335" i="18"/>
  <c r="B144" i="18"/>
  <c r="B433" i="18"/>
  <c r="B137" i="18"/>
  <c r="B240" i="18"/>
  <c r="B292" i="18"/>
  <c r="B136" i="18"/>
  <c r="B293" i="18" l="1"/>
  <c r="B336" i="18"/>
  <c r="B210" i="18"/>
  <c r="T76" i="1"/>
  <c r="B238" i="18" s="1"/>
  <c r="B227" i="18" l="1"/>
  <c r="B219" i="18"/>
  <c r="B217" i="18"/>
  <c r="B343" i="18"/>
  <c r="B300" i="18"/>
  <c r="B215" i="18"/>
  <c r="B228" i="18"/>
  <c r="B229" i="18"/>
</calcChain>
</file>

<file path=xl/sharedStrings.xml><?xml version="1.0" encoding="utf-8"?>
<sst xmlns="http://schemas.openxmlformats.org/spreadsheetml/2006/main" count="836" uniqueCount="551">
  <si>
    <t>Mailing Address</t>
  </si>
  <si>
    <t>Telephone</t>
  </si>
  <si>
    <t>$</t>
  </si>
  <si>
    <t>Company</t>
  </si>
  <si>
    <t>Survey Deadline</t>
  </si>
  <si>
    <t>Participant data will be aggregated in a way that prevents identification of any individual company.</t>
  </si>
  <si>
    <t>INSTRUCTIONS</t>
  </si>
  <si>
    <t>1.</t>
  </si>
  <si>
    <t>2.</t>
  </si>
  <si>
    <t>3.</t>
  </si>
  <si>
    <t>4.</t>
  </si>
  <si>
    <t>Major features of their data management procedure include:</t>
  </si>
  <si>
    <t>STATEMENT OF CONFIDENTIALITY</t>
  </si>
  <si>
    <t>procedures, they have never had a confidentiality problem.</t>
  </si>
  <si>
    <t xml:space="preserve">Specific data masking procedures are in place to ensure that no one company's data can be identified </t>
  </si>
  <si>
    <t>from the aggregate industry data being reported.</t>
  </si>
  <si>
    <t>Your firm's data will be identified in the database only by a company identification number.  A single</t>
  </si>
  <si>
    <t>Every precaution has been taken to protect the complete confidentiality of all information, and this</t>
  </si>
  <si>
    <t>responsibility is taken very seriously.  Companies of all sizes, from less than a million to well over a</t>
  </si>
  <si>
    <t>Fax</t>
  </si>
  <si>
    <t>Email Address</t>
  </si>
  <si>
    <t>Owners and management rightly feel that their firm's financial data is highly confidential.</t>
  </si>
  <si>
    <t>Net Sales</t>
  </si>
  <si>
    <t>Other Income</t>
  </si>
  <si>
    <t>Interest Expense</t>
  </si>
  <si>
    <t>Other Non-Operating Expenses</t>
  </si>
  <si>
    <t>(Local, State, Federal)</t>
  </si>
  <si>
    <t>Income Taxes</t>
  </si>
  <si>
    <t>Operating Profit</t>
  </si>
  <si>
    <t>The goal is to obtain an estimate of "full-time equivalent" employees in each function area.  You may allocate</t>
  </si>
  <si>
    <t>as little as ¼ of a person to a function.  Convert part-time employees into "full-time" equivalents.</t>
  </si>
  <si>
    <t>Total number of employees</t>
  </si>
  <si>
    <t>Cost of Goods Sold</t>
  </si>
  <si>
    <t>Your data will be treated confidentially by Mackay Research Group.</t>
  </si>
  <si>
    <t>handling and protecting data submitted by firms for industry performance surveys. Because of their strict</t>
  </si>
  <si>
    <t>Mackay Research Group is extremely sensitive to this issue, and has developed secure methods of</t>
  </si>
  <si>
    <t>The processing of such data is restricted exclusively to employees of the Mackay Research Group.</t>
  </si>
  <si>
    <t>directly to Mackay Research Group.  Access to your data will be solely restricted to necessary Mackay</t>
  </si>
  <si>
    <t>Research Group personnel.</t>
  </si>
  <si>
    <t>In summary, confidentiality of client information is at the core of Mackay Research Group's business.</t>
  </si>
  <si>
    <t xml:space="preserve">billion dollars in sales, send thousands of survey forms to Mackay Research Group each year, trusting  </t>
  </si>
  <si>
    <t>Mackay Research Group to securely manage their sensitive data.</t>
  </si>
  <si>
    <t>Income Statement</t>
  </si>
  <si>
    <t>CONFIDENTIAL</t>
  </si>
  <si>
    <t>(Gross Sales less returns, cash discounts, allowances &amp; sales taxes)</t>
  </si>
  <si>
    <t>(Net Sales - Total Cost Of Goods Sold)</t>
  </si>
  <si>
    <t>All Other Operating Expenses</t>
  </si>
  <si>
    <t xml:space="preserve">  Profit Before Taxes</t>
  </si>
  <si>
    <t xml:space="preserve">  Net Profit After Taxes</t>
  </si>
  <si>
    <t>(Operating Profit+Other Income-Interest Expense-Other Non-Operating Exp.)</t>
  </si>
  <si>
    <t>(Interest income, gain on sale of assets, etc.)</t>
  </si>
  <si>
    <t>(Excluding mortgage interest)</t>
  </si>
  <si>
    <t>surveys@mackayresearchgroup.com</t>
  </si>
  <si>
    <t>Questions regarding this survey?</t>
  </si>
  <si>
    <t>from the data files, where the data is identified only by ID number.</t>
  </si>
  <si>
    <t>master list which cross-references company names and their ID numbers is maintained separately</t>
  </si>
  <si>
    <t>performance to industry benchmarks, please complete the following:</t>
  </si>
  <si>
    <t>Name</t>
  </si>
  <si>
    <t>Title</t>
  </si>
  <si>
    <t>City</t>
  </si>
  <si>
    <t>State</t>
  </si>
  <si>
    <t>Zip Code</t>
  </si>
  <si>
    <r>
      <t>Previous</t>
    </r>
    <r>
      <rPr>
        <sz val="10"/>
        <rFont val="Arial"/>
        <family val="2"/>
      </rPr>
      <t xml:space="preserve"> fiscal year Net Sales</t>
    </r>
  </si>
  <si>
    <t>Year</t>
  </si>
  <si>
    <t>Address1</t>
  </si>
  <si>
    <t>Address2</t>
  </si>
  <si>
    <t>Zipcode</t>
  </si>
  <si>
    <t>Phone</t>
  </si>
  <si>
    <t>Eaddr</t>
  </si>
  <si>
    <t>ORG</t>
  </si>
  <si>
    <t>OEMP</t>
  </si>
  <si>
    <t>EMP</t>
  </si>
  <si>
    <t>PREV</t>
  </si>
  <si>
    <t>AAR</t>
  </si>
  <si>
    <t>AVG</t>
  </si>
  <si>
    <t>LIFO</t>
  </si>
  <si>
    <t>ADD</t>
  </si>
  <si>
    <t>END</t>
  </si>
  <si>
    <t>TA</t>
  </si>
  <si>
    <t>CA</t>
  </si>
  <si>
    <t>CASH</t>
  </si>
  <si>
    <t>AR</t>
  </si>
  <si>
    <t>INV</t>
  </si>
  <si>
    <t>OCA</t>
  </si>
  <si>
    <t>FIXED</t>
  </si>
  <si>
    <t>OFA</t>
  </si>
  <si>
    <t>CL</t>
  </si>
  <si>
    <t>AP</t>
  </si>
  <si>
    <t>NP</t>
  </si>
  <si>
    <t>OCL</t>
  </si>
  <si>
    <t>LTL</t>
  </si>
  <si>
    <t>LOAN</t>
  </si>
  <si>
    <t>EQTY</t>
  </si>
  <si>
    <t>LIAB</t>
  </si>
  <si>
    <t>NS</t>
  </si>
  <si>
    <t>RM</t>
  </si>
  <si>
    <t>UT</t>
  </si>
  <si>
    <t>RENT</t>
  </si>
  <si>
    <t>EQUIP</t>
  </si>
  <si>
    <t>INS</t>
  </si>
  <si>
    <t>DPR</t>
  </si>
  <si>
    <t>COGS</t>
  </si>
  <si>
    <t>GP</t>
  </si>
  <si>
    <t>EXEC</t>
  </si>
  <si>
    <t>SLS</t>
  </si>
  <si>
    <t>PA</t>
  </si>
  <si>
    <t>AD</t>
  </si>
  <si>
    <t>OE</t>
  </si>
  <si>
    <t>TOE</t>
  </si>
  <si>
    <t>TE</t>
  </si>
  <si>
    <t>OP</t>
  </si>
  <si>
    <t>OI</t>
  </si>
  <si>
    <t>INT</t>
  </si>
  <si>
    <t>OEX</t>
  </si>
  <si>
    <t>PBT</t>
  </si>
  <si>
    <t>TAX</t>
  </si>
  <si>
    <t>NET</t>
  </si>
  <si>
    <t>ID</t>
  </si>
  <si>
    <t>(Fiscal year</t>
  </si>
  <si>
    <t>, 12 months of data)</t>
  </si>
  <si>
    <t>taylor@mackayresearchgroup.com</t>
  </si>
  <si>
    <t>Employee Benefits</t>
  </si>
  <si>
    <t>No one from MHEDA or its staff will have access to individual company data.</t>
  </si>
  <si>
    <t>Mackay Research Group independently conducts this survey for MHEDA; you send your questionnaire</t>
  </si>
  <si>
    <r>
      <t>Number of employees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(all employees, full-time equivalents, including owner/managers)</t>
    </r>
  </si>
  <si>
    <t>Executives</t>
  </si>
  <si>
    <t>Service Technicians</t>
  </si>
  <si>
    <t>Parts Inventory over 12 months old</t>
  </si>
  <si>
    <t>Operating Expenses</t>
  </si>
  <si>
    <t>Payroll Expenses</t>
  </si>
  <si>
    <r>
      <t xml:space="preserve">Total </t>
    </r>
    <r>
      <rPr>
        <b/>
        <sz val="10"/>
        <rFont val="Arial"/>
        <family val="2"/>
      </rPr>
      <t>Payroll Expenses</t>
    </r>
  </si>
  <si>
    <t>Gross Profit</t>
  </si>
  <si>
    <t>Total Operating Expenses</t>
  </si>
  <si>
    <t>Occupancy Expenses</t>
  </si>
  <si>
    <t>Building Repairs &amp; Maintenance</t>
  </si>
  <si>
    <t>Utilities (heat, light, power, water)</t>
  </si>
  <si>
    <r>
      <t xml:space="preserve">Rent or Real Estate Ownership </t>
    </r>
    <r>
      <rPr>
        <sz val="10"/>
        <rFont val="Arial Narrow"/>
        <family val="2"/>
      </rPr>
      <t>(include rent, mortgage int., bldg. depr., ins., real estate taxes, etc.)</t>
    </r>
  </si>
  <si>
    <t>Other Operating Expenses</t>
  </si>
  <si>
    <t>Training</t>
  </si>
  <si>
    <t>Vehicle (incl. gas, oil, repairs &amp; maintenance, insurance, depreciation, leasing, etc.)</t>
  </si>
  <si>
    <t>Insurance (business liability &amp; casualty; not real estate or group)</t>
  </si>
  <si>
    <t>Depreciation (excl. rental equip., building &amp; vehicle)</t>
  </si>
  <si>
    <t>Computer &amp; MIS/Communications (telephone, data lines, cell phones)</t>
  </si>
  <si>
    <t>Marketing/Advertising/Website Costs (excl. payroll)</t>
  </si>
  <si>
    <t>Product Sales &amp; Cost of Sales</t>
  </si>
  <si>
    <t>Sales</t>
  </si>
  <si>
    <t>New Power Equipment</t>
  </si>
  <si>
    <t>Used Power Equipment</t>
  </si>
  <si>
    <t>Storage/Handling Products</t>
  </si>
  <si>
    <t>All Other Sales</t>
  </si>
  <si>
    <t>Payroll</t>
  </si>
  <si>
    <t>Occupancy</t>
  </si>
  <si>
    <t>Rental Fleet depreciation, maintenance, interest</t>
  </si>
  <si>
    <r>
      <t xml:space="preserve">Total </t>
    </r>
    <r>
      <rPr>
        <sz val="10"/>
        <rFont val="Arial Narrow"/>
        <family val="2"/>
      </rPr>
      <t>(copied from the income statement)</t>
    </r>
  </si>
  <si>
    <t>Gross Profit - Total Operating Expenses)</t>
  </si>
  <si>
    <t>(Payroll + Occupancy + Other Operating Expenses)</t>
  </si>
  <si>
    <t>Ltrucks</t>
  </si>
  <si>
    <t>EngSys</t>
  </si>
  <si>
    <t>SH</t>
  </si>
  <si>
    <t>OPROD</t>
  </si>
  <si>
    <t>EMP_Exec</t>
  </si>
  <si>
    <t>SvcCalls</t>
  </si>
  <si>
    <t>SvcVeh</t>
  </si>
  <si>
    <t>SvcRecover</t>
  </si>
  <si>
    <t>SvcJobs</t>
  </si>
  <si>
    <t>STunits</t>
  </si>
  <si>
    <t>STvalue</t>
  </si>
  <si>
    <t>STutil</t>
  </si>
  <si>
    <t>CUST</t>
  </si>
  <si>
    <t>IntParts</t>
  </si>
  <si>
    <t>IntSvc</t>
  </si>
  <si>
    <t>AAP</t>
  </si>
  <si>
    <t>AgeNew</t>
  </si>
  <si>
    <t>AgeUsed</t>
  </si>
  <si>
    <t>AgeParts</t>
  </si>
  <si>
    <t>AgeSH</t>
  </si>
  <si>
    <t>NEWINV</t>
  </si>
  <si>
    <t>USEDINV</t>
  </si>
  <si>
    <t>PARTSINV</t>
  </si>
  <si>
    <t>OINV</t>
  </si>
  <si>
    <t>TechWages</t>
  </si>
  <si>
    <t>RentalCost</t>
  </si>
  <si>
    <t>OCOGS</t>
  </si>
  <si>
    <t>SAL</t>
  </si>
  <si>
    <t>PT</t>
  </si>
  <si>
    <t>BENE</t>
  </si>
  <si>
    <t>Grp_Ins</t>
  </si>
  <si>
    <t>OC</t>
  </si>
  <si>
    <t>VEH</t>
  </si>
  <si>
    <t>TRN</t>
  </si>
  <si>
    <t>MIS</t>
  </si>
  <si>
    <t>NS_New</t>
  </si>
  <si>
    <t>NS_Used</t>
  </si>
  <si>
    <t>NS_SH</t>
  </si>
  <si>
    <t>NS_ES</t>
  </si>
  <si>
    <t>NS_Counter</t>
  </si>
  <si>
    <t>NS_SVC</t>
  </si>
  <si>
    <t>NS_Rent</t>
  </si>
  <si>
    <t>NS_OTH</t>
  </si>
  <si>
    <t>GP_New</t>
  </si>
  <si>
    <t>GP_Used</t>
  </si>
  <si>
    <t>GP_SH</t>
  </si>
  <si>
    <t>GP_ES</t>
  </si>
  <si>
    <t>GP_Counter</t>
  </si>
  <si>
    <t>GP_SVC</t>
  </si>
  <si>
    <t>GP_Rent</t>
  </si>
  <si>
    <t>GP_OTH</t>
  </si>
  <si>
    <t>COGS_New</t>
  </si>
  <si>
    <t>COGS_Used</t>
  </si>
  <si>
    <t>COGS_SH</t>
  </si>
  <si>
    <t>COGS_ES</t>
  </si>
  <si>
    <t>COGS_Counter</t>
  </si>
  <si>
    <t>COGS_SVC</t>
  </si>
  <si>
    <t>COGS_Rent</t>
  </si>
  <si>
    <t>COGS_OTH</t>
  </si>
  <si>
    <t>PA_Sales</t>
  </si>
  <si>
    <t>PA_Parts</t>
  </si>
  <si>
    <t>PA_SCV</t>
  </si>
  <si>
    <t>PA_Rental</t>
  </si>
  <si>
    <t>PA_GA</t>
  </si>
  <si>
    <t>OE_Sales</t>
  </si>
  <si>
    <t>OE_SCV</t>
  </si>
  <si>
    <t>OE_Rental</t>
  </si>
  <si>
    <t>OE_GA</t>
  </si>
  <si>
    <t>OE_Parts</t>
  </si>
  <si>
    <t>OC_Sales</t>
  </si>
  <si>
    <t>OC_SCV</t>
  </si>
  <si>
    <t>OC_Rental</t>
  </si>
  <si>
    <t>OC_GA</t>
  </si>
  <si>
    <t>OC_Parts</t>
  </si>
  <si>
    <t>Parts</t>
  </si>
  <si>
    <t>Rental Billings – Customer &amp; Internal</t>
  </si>
  <si>
    <t>Automated Storage &amp; Retrieval Systems, robotic delivery</t>
  </si>
  <si>
    <t>Salaries, Wages, Commissions &amp; Bonuses</t>
  </si>
  <si>
    <t>Assn</t>
  </si>
  <si>
    <t>Inside</t>
  </si>
  <si>
    <t>PA_Tech</t>
  </si>
  <si>
    <t>PA_SVC</t>
  </si>
  <si>
    <t>SAL_TOT</t>
  </si>
  <si>
    <t>(include freight-in, less purchase discounts)</t>
  </si>
  <si>
    <t>BALANCE SHEET</t>
  </si>
  <si>
    <t>INCOME STATEMENT</t>
  </si>
  <si>
    <t>GFA</t>
  </si>
  <si>
    <t>ACCDPR</t>
  </si>
  <si>
    <t>b</t>
  </si>
  <si>
    <t>PT_Pct</t>
  </si>
  <si>
    <t>Grp_Pct</t>
  </si>
  <si>
    <t>BENE_Pct</t>
  </si>
  <si>
    <t>Burden_Pct</t>
  </si>
  <si>
    <t>Tele</t>
  </si>
  <si>
    <t>Outside Sales / Account Management</t>
  </si>
  <si>
    <t>Engineers / Project Management</t>
  </si>
  <si>
    <t>Customer Service / Inside Sales / Sales Support</t>
  </si>
  <si>
    <t>Warehouse Employees / Drivers</t>
  </si>
  <si>
    <t>EMP_WHS</t>
  </si>
  <si>
    <t>EMP_PM</t>
  </si>
  <si>
    <t>PA_PM</t>
  </si>
  <si>
    <t>PA_OTH</t>
  </si>
  <si>
    <t>DownPmt</t>
  </si>
  <si>
    <t>FinalPmt</t>
  </si>
  <si>
    <t>STOCK</t>
  </si>
  <si>
    <t>PA_WHS</t>
  </si>
  <si>
    <r>
      <t>— Utilities, phone, data lines,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rent, bldg depreciation, insurance, etc.</t>
    </r>
  </si>
  <si>
    <r>
      <t>Installation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(Electrical &amp; Mechanical)</t>
    </r>
  </si>
  <si>
    <t>Service / Maintenance Revenue</t>
  </si>
  <si>
    <t>NS_Install</t>
  </si>
  <si>
    <t>COGS_Install</t>
  </si>
  <si>
    <t>GP_Install</t>
  </si>
  <si>
    <t>In-house service/maintenance labor or sub-contracted</t>
  </si>
  <si>
    <t>In-house installation labor or sub-contracted</t>
  </si>
  <si>
    <t>EMP_Out</t>
  </si>
  <si>
    <t>EMP_Inside</t>
  </si>
  <si>
    <t>EMP_Rental</t>
  </si>
  <si>
    <t>EMP_Tech</t>
  </si>
  <si>
    <t>EMP_SVC</t>
  </si>
  <si>
    <t>PA_Exec</t>
  </si>
  <si>
    <t>PA_Out</t>
  </si>
  <si>
    <t>PA_Inside</t>
  </si>
  <si>
    <t>All Other Employees, Administrative/Clerical &amp; other employees not included above</t>
  </si>
  <si>
    <t>(including extraordinary expenses,)</t>
  </si>
  <si>
    <t>Questions</t>
  </si>
  <si>
    <t>Equipment / Controls / Engineering Revenue / Project Management</t>
  </si>
  <si>
    <t>ES</t>
  </si>
  <si>
    <t>Service Technicians / Installation, including electricians</t>
  </si>
  <si>
    <t>(Owners, Senior Level Managers, V.P., etc.)</t>
  </si>
  <si>
    <t>Payroll Taxes</t>
  </si>
  <si>
    <r>
      <t xml:space="preserve">(FICA, unemployment, workers' compensation; </t>
    </r>
    <r>
      <rPr>
        <b/>
        <sz val="10"/>
        <rFont val="Arial Narrow"/>
        <family val="2"/>
      </rPr>
      <t>all employees</t>
    </r>
    <r>
      <rPr>
        <sz val="10"/>
        <rFont val="Arial Narrow"/>
        <family val="2"/>
      </rPr>
      <t>)</t>
    </r>
  </si>
  <si>
    <t>Group Insurance</t>
  </si>
  <si>
    <r>
      <t xml:space="preserve">(medical, hospitalization, etc.; </t>
    </r>
    <r>
      <rPr>
        <b/>
        <sz val="10"/>
        <rFont val="Arial Narrow"/>
        <family val="2"/>
      </rPr>
      <t>all employees</t>
    </r>
    <r>
      <rPr>
        <sz val="10"/>
        <rFont val="Arial Narrow"/>
        <family val="2"/>
      </rPr>
      <t>)</t>
    </r>
  </si>
  <si>
    <r>
      <t xml:space="preserve">(pension, 401(k) &amp; benefits not mandated by the government; </t>
    </r>
    <r>
      <rPr>
        <b/>
        <sz val="10"/>
        <rFont val="Arial Narrow"/>
        <family val="2"/>
      </rPr>
      <t>all employees</t>
    </r>
    <r>
      <rPr>
        <sz val="10"/>
        <rFont val="Arial Narrow"/>
        <family val="2"/>
      </rPr>
      <t>)</t>
    </r>
  </si>
  <si>
    <t>NW</t>
  </si>
  <si>
    <t>PB_Bonus</t>
  </si>
  <si>
    <t>Bonus_Owner</t>
  </si>
  <si>
    <t>Bonus_EMP</t>
  </si>
  <si>
    <t>Not asked in 2019</t>
  </si>
  <si>
    <t>B</t>
  </si>
  <si>
    <t>Stupid ratio -- don't report in 2019</t>
  </si>
  <si>
    <t>TechApplied</t>
  </si>
  <si>
    <t>TechBilled</t>
  </si>
  <si>
    <t>TechPaid</t>
  </si>
  <si>
    <t>PA_Adjust</t>
  </si>
  <si>
    <t>WHSNS</t>
  </si>
  <si>
    <t>WHSCOGS</t>
  </si>
  <si>
    <t>WHSGP</t>
  </si>
  <si>
    <t>START ANALYSIS</t>
  </si>
  <si>
    <t>LIFO ADJUSTMENTS</t>
  </si>
  <si>
    <t>AVG_2</t>
  </si>
  <si>
    <t>INV_2</t>
  </si>
  <si>
    <t>CA_2</t>
  </si>
  <si>
    <t>TA_2</t>
  </si>
  <si>
    <t>NW_2</t>
  </si>
  <si>
    <t>COGS_2</t>
  </si>
  <si>
    <t>GP_2</t>
  </si>
  <si>
    <t>OP_2</t>
  </si>
  <si>
    <t>PBT_2</t>
  </si>
  <si>
    <t>NET_2</t>
  </si>
  <si>
    <t>INC</t>
  </si>
  <si>
    <t>PM</t>
  </si>
  <si>
    <t>ATO</t>
  </si>
  <si>
    <t>ROA</t>
  </si>
  <si>
    <t>LEV</t>
  </si>
  <si>
    <t>ROWN</t>
  </si>
  <si>
    <t>CUR</t>
  </si>
  <si>
    <t>QUICK</t>
  </si>
  <si>
    <t>CASHCL</t>
  </si>
  <si>
    <t>AP/INV</t>
  </si>
  <si>
    <t>APDAYS</t>
  </si>
  <si>
    <t>DEBT</t>
  </si>
  <si>
    <t>EBIT</t>
  </si>
  <si>
    <t>EBITTA</t>
  </si>
  <si>
    <t>TIMES</t>
  </si>
  <si>
    <t>ARDAYS</t>
  </si>
  <si>
    <t>TURN</t>
  </si>
  <si>
    <t>INVDAYS</t>
  </si>
  <si>
    <t>SALES/INV</t>
  </si>
  <si>
    <t>GMROI</t>
  </si>
  <si>
    <t>Sales/FA</t>
  </si>
  <si>
    <t>GPI</t>
  </si>
  <si>
    <t>CASH/CL</t>
  </si>
  <si>
    <t>DEFENSE</t>
  </si>
  <si>
    <t>WORK</t>
  </si>
  <si>
    <t>Employee Productivity</t>
  </si>
  <si>
    <t xml:space="preserve">Revenue Producing Emps. </t>
  </si>
  <si>
    <t>Sales $ per Employee</t>
  </si>
  <si>
    <t>Gross Profit $ per Employee</t>
  </si>
  <si>
    <t>Salary $ per Employee (incl. direct labor)</t>
  </si>
  <si>
    <t>Payroll $ per Employee (incl. direct labor)</t>
  </si>
  <si>
    <t>Total Payroll Expense (% of Net Sales)</t>
  </si>
  <si>
    <t>Personnel Productivity Ratio (payroll % of GP)</t>
  </si>
  <si>
    <t>PA_OUT</t>
  </si>
  <si>
    <t>GROSS MARGIN</t>
  </si>
  <si>
    <t>STORINV</t>
  </si>
  <si>
    <t xml:space="preserve">﻿G&amp;A Expenses (% of parts, service &amp; rental sales) </t>
  </si>
  <si>
    <t xml:space="preserve">Personnel </t>
  </si>
  <si>
    <t xml:space="preserve">Occupancy </t>
  </si>
  <si>
    <t xml:space="preserve">Other Expenses </t>
  </si>
  <si>
    <t>Sales by Product Category</t>
  </si>
  <si>
    <t>NS_Internal</t>
  </si>
  <si>
    <t>NS_Warranty</t>
  </si>
  <si>
    <t>Gross Margin by Product Category</t>
  </si>
  <si>
    <t>GP_Internal</t>
  </si>
  <si>
    <t>GP_Warranty</t>
  </si>
  <si>
    <t>PartsTotal</t>
  </si>
  <si>
    <t>Product Sales</t>
  </si>
  <si>
    <t>Product COGS</t>
  </si>
  <si>
    <t>Product Gross Margin</t>
  </si>
  <si>
    <t>GM%</t>
  </si>
  <si>
    <t>GM x NSINV</t>
  </si>
  <si>
    <t>Aftermarket Operations Analysis</t>
  </si>
  <si>
    <t>Aftermarket Revenue</t>
  </si>
  <si>
    <t>Aftermarket COGS</t>
  </si>
  <si>
    <t>Aftermarket Gross Profit</t>
  </si>
  <si>
    <t>Aftermarket Payroll</t>
  </si>
  <si>
    <t>Aftermarket Occupancy</t>
  </si>
  <si>
    <t>Aftermarket Other Expenses</t>
  </si>
  <si>
    <t>Aftermarket G&amp;A Expenses</t>
  </si>
  <si>
    <t>Aftermarket Contribution Profit</t>
  </si>
  <si>
    <t>Aftermarket Income Statement</t>
  </si>
  <si>
    <t>Aftermarket Contribution Margin</t>
  </si>
  <si>
    <t>Overall Gross Margin</t>
  </si>
  <si>
    <t xml:space="preserve">Aftermarket Gross Profit Contribution (%) </t>
  </si>
  <si>
    <t xml:space="preserve">﻿Absorption </t>
  </si>
  <si>
    <t xml:space="preserve">Absorption Rate </t>
  </si>
  <si>
    <t xml:space="preserve">Absorption Rate Without Sales </t>
  </si>
  <si>
    <t xml:space="preserve">﻿Active Customers </t>
  </si>
  <si>
    <t xml:space="preserve">Sales per Customer </t>
  </si>
  <si>
    <t>Equipment/Product Departmental Analysis</t>
  </si>
  <si>
    <t xml:space="preserve">Equipment/Product Sales </t>
  </si>
  <si>
    <t>Equipment/Product COGS</t>
  </si>
  <si>
    <t>Equipment/Product Gross Profit</t>
  </si>
  <si>
    <t>Equipment/Product Payroll</t>
  </si>
  <si>
    <t>Equipment/Product Occupancy</t>
  </si>
  <si>
    <t>Equipment/Product Other Expenses</t>
  </si>
  <si>
    <t>Equipment/Product G&amp;A Expenses</t>
  </si>
  <si>
    <t>Equipment/Product Contribution Profit</t>
  </si>
  <si>
    <t>Equipment/Product Department Income Statement</t>
  </si>
  <si>
    <t>Equipment/Product Department Expenses as a % of Gross Profit</t>
  </si>
  <si>
    <t>Other Expenses</t>
  </si>
  <si>
    <t>Total Dept. G&amp;A Expenses</t>
  </si>
  <si>
    <t>Contribution Margin</t>
  </si>
  <si>
    <t xml:space="preserve">﻿Employees (inside &amp; outside sales) </t>
  </si>
  <si>
    <t>Inside Sales Employees</t>
  </si>
  <si>
    <t>Outside Sales Employees</t>
  </si>
  <si>
    <t>Total Sales Employees</t>
  </si>
  <si>
    <t>Sales per Sales Employee</t>
  </si>
  <si>
    <t>GP per Sales Employee</t>
  </si>
  <si>
    <t xml:space="preserve">﻿Product Mix (% of dept. sales) </t>
  </si>
  <si>
    <t xml:space="preserve">New Power Equipment </t>
  </si>
  <si>
    <t xml:space="preserve">Used Power Equipment </t>
  </si>
  <si>
    <t xml:space="preserve">Storage/Handling Products </t>
  </si>
  <si>
    <t xml:space="preserve">Engineered Systems </t>
  </si>
  <si>
    <t xml:space="preserve">Total Department Sales </t>
  </si>
  <si>
    <t xml:space="preserve">﻿Product Gross Margin </t>
  </si>
  <si>
    <r>
      <t>﻿Inventory Aging</t>
    </r>
    <r>
      <rPr>
        <u/>
        <sz val="10"/>
        <rFont val="Arial"/>
        <family val="2"/>
      </rPr>
      <t xml:space="preserve"> (% of each inventory category) </t>
    </r>
  </si>
  <si>
    <t xml:space="preserve">New Power Equipment &gt; 12 Months </t>
  </si>
  <si>
    <t xml:space="preserve">Used Power Equipment &gt; 12 Months </t>
  </si>
  <si>
    <t xml:space="preserve">Storage/Handling Inventory &gt; 6 Months </t>
  </si>
  <si>
    <t>﻿Inventory Turnover</t>
  </si>
  <si>
    <t xml:space="preserve">New Power Equipment Turnover </t>
  </si>
  <si>
    <t xml:space="preserve">Used Power Equipment Turnover </t>
  </si>
  <si>
    <t xml:space="preserve">Storage/Handling Inventory Turnover </t>
  </si>
  <si>
    <t>﻿Parts Department Analysis</t>
  </si>
  <si>
    <t>Parts Sales Volume</t>
  </si>
  <si>
    <t>Parts Department Income Statement</t>
  </si>
  <si>
    <t>Parts Sales</t>
  </si>
  <si>
    <t>Parts COGS</t>
  </si>
  <si>
    <t>Parts Gross Margin</t>
  </si>
  <si>
    <t>Parts Dept. Payroll</t>
  </si>
  <si>
    <t>Parts Dept. Occupancy</t>
  </si>
  <si>
    <t>Parts Dept. Other Expenses</t>
  </si>
  <si>
    <t>Total Parts Dept. G&amp;A Expenses</t>
  </si>
  <si>
    <t>Parts Dept. Contribution Margin</t>
  </si>
  <si>
    <t>Parts Department Expenses as a % of Gross Profit</t>
  </si>
  <si>
    <t>Parts Gross Profit</t>
  </si>
  <si>
    <t xml:space="preserve">Parts Department ﻿Employees </t>
  </si>
  <si>
    <t>Department Management</t>
  </si>
  <si>
    <t>Counter Sales</t>
  </si>
  <si>
    <t>Inside Sales</t>
  </si>
  <si>
    <t>Outside Sales</t>
  </si>
  <si>
    <t>Parts Department, including manager</t>
  </si>
  <si>
    <t>Total Parts Employees</t>
  </si>
  <si>
    <t xml:space="preserve">Parts Sales per Parts Employee </t>
  </si>
  <si>
    <t xml:space="preserve">Parts Gross Profit per Parts Employee </t>
  </si>
  <si>
    <t>Parts Department Sales Mix</t>
  </si>
  <si>
    <t xml:space="preserve">Parts – Counter </t>
  </si>
  <si>
    <t>Parts – Repair Order</t>
  </si>
  <si>
    <t xml:space="preserve">Parts – Internal </t>
  </si>
  <si>
    <t>Parts – Warranty</t>
  </si>
  <si>
    <t xml:space="preserve">Parts – Warranty </t>
  </si>
  <si>
    <t xml:space="preserve">﻿Parts Inventory </t>
  </si>
  <si>
    <t xml:space="preserve">Parts Inventory Turnover </t>
  </si>
  <si>
    <t xml:space="preserve">Parts GMROI </t>
  </si>
  <si>
    <t>﻿Internal Parts Billing Rate</t>
  </si>
  <si>
    <t>Full Retail Pricing</t>
  </si>
  <si>
    <t xml:space="preserve">Discount from Retail </t>
  </si>
  <si>
    <t xml:space="preserve">Cost </t>
  </si>
  <si>
    <t xml:space="preserve">Total </t>
  </si>
  <si>
    <t>﻿Service Department Analysis</t>
  </si>
  <si>
    <t xml:space="preserve">Department Sales </t>
  </si>
  <si>
    <t>Service Department Income Statement</t>
  </si>
  <si>
    <t>Service Revenue</t>
  </si>
  <si>
    <t>Tech Wages</t>
  </si>
  <si>
    <t>Service Gross Margin</t>
  </si>
  <si>
    <t>Service Dept. Payroll</t>
  </si>
  <si>
    <t>Service Dept. Occupancy</t>
  </si>
  <si>
    <t>Service Dept. Other Expenses</t>
  </si>
  <si>
    <t>Total Service Dept. G&amp;A Expenses</t>
  </si>
  <si>
    <t>Service Dept. Contribution Margin</t>
  </si>
  <si>
    <t>Service Department Expenses as a % of Gross Profit</t>
  </si>
  <si>
    <t>Service Gross Profit</t>
  </si>
  <si>
    <t xml:space="preserve">Service Department ﻿Employees </t>
  </si>
  <si>
    <t>Service Management</t>
  </si>
  <si>
    <t>Administrative/Support</t>
  </si>
  <si>
    <t>Total Service Dept. Employees</t>
  </si>
  <si>
    <t>Service Revenue per Service Tech</t>
  </si>
  <si>
    <t>Service Gross Profit per Service Tech</t>
  </si>
  <si>
    <t>Service Tech Ratio</t>
  </si>
  <si>
    <t xml:space="preserve">Rental &amp; Service Tech Ratio (%) </t>
  </si>
  <si>
    <t xml:space="preserve">﻿Service &amp; Installation </t>
  </si>
  <si>
    <t>Service calls per month</t>
  </si>
  <si>
    <t xml:space="preserve">Service Calls per Service Tech (monthly) </t>
  </si>
  <si>
    <t>Service vehicle expenses</t>
  </si>
  <si>
    <t>Service vehicle expenses recovered</t>
  </si>
  <si>
    <t xml:space="preserve">Service Vehicle Expense Recovery Ratio </t>
  </si>
  <si>
    <t>Total Technician Applied Hours</t>
  </si>
  <si>
    <t>Total Labor Hours Actually Billed</t>
  </si>
  <si>
    <t>Total Technician Hours Paid</t>
  </si>
  <si>
    <t>Hours Billed per Hour Paid</t>
  </si>
  <si>
    <t xml:space="preserve">Effective Tech Labor Rate </t>
  </si>
  <si>
    <t xml:space="preserve">Applied Tech Labor Rate </t>
  </si>
  <si>
    <t xml:space="preserve">Jobs/projeccts requiring installation (monthly) </t>
  </si>
  <si>
    <t>﻿Internal Billing Rate for Service/Installation</t>
  </si>
  <si>
    <t>﻿Rental Department Analysis</t>
  </si>
  <si>
    <t>Typical Rental Billings</t>
  </si>
  <si>
    <t>Rental Department Income Statement</t>
  </si>
  <si>
    <t>Rental Revenue</t>
  </si>
  <si>
    <t>Cost of Rental Equipment</t>
  </si>
  <si>
    <t>Rental Gross Margin</t>
  </si>
  <si>
    <t>Rental Dept. Payroll</t>
  </si>
  <si>
    <t>Rental Dept. Occupancy</t>
  </si>
  <si>
    <t>Rental Dept. Other Expenses</t>
  </si>
  <si>
    <t>Total Rental Dept. G&amp;A Expenses</t>
  </si>
  <si>
    <t>Rental Dept. Contribution Margin</t>
  </si>
  <si>
    <t>Rental Department Expenses as a % of Gross Profit</t>
  </si>
  <si>
    <t>Rental Gross Profit</t>
  </si>
  <si>
    <t>Rental Contribution Margin</t>
  </si>
  <si>
    <t xml:space="preserve">Rental Department ﻿Employees </t>
  </si>
  <si>
    <t>Rental Management</t>
  </si>
  <si>
    <t>Rental Administrative/Support</t>
  </si>
  <si>
    <t>Rental Technicians</t>
  </si>
  <si>
    <t>Total Rental Dept. Employees</t>
  </si>
  <si>
    <t>﻿Technicians</t>
  </si>
  <si>
    <t>Rental Tech Ratio</t>
  </si>
  <si>
    <t>Rental &amp; Service Tech Ratio</t>
  </si>
  <si>
    <t xml:space="preserve">﻿Rental Fleet </t>
  </si>
  <si>
    <t xml:space="preserve">Number of Rental Units </t>
  </si>
  <si>
    <t xml:space="preserve">Acquisition Value of Rental Fleet </t>
  </si>
  <si>
    <t xml:space="preserve">Rental Revenue per Unit </t>
  </si>
  <si>
    <t xml:space="preserve">Rental Revenue to Fleet Acquisition Cost (%) </t>
  </si>
  <si>
    <t>Rental Revenue to Depreciated Fleet  Asset Value</t>
  </si>
  <si>
    <t>Time Utilization of Rental Fleet</t>
  </si>
  <si>
    <t>CSH</t>
  </si>
  <si>
    <t>DROP</t>
  </si>
  <si>
    <t>NS_SH+NS_ES</t>
  </si>
  <si>
    <t>(NS_SH+NS_ES)-COGS_SH+COGS_ES/(NS_SH+NS_ES)</t>
  </si>
  <si>
    <t>Employees As %</t>
  </si>
  <si>
    <t>Sales $ Per Sales Employees (Inside &amp; Out)</t>
  </si>
  <si>
    <t>Gross Profit Pr Sales Employee (Inside &amp; Out)</t>
  </si>
  <si>
    <t>Sales $ Per Outside Sales Employees</t>
  </si>
  <si>
    <t>Gross Profit $ Per Outside Sales Employees</t>
  </si>
  <si>
    <t>Outside Employees Vs. Sales Support Employees</t>
  </si>
  <si>
    <t>Revenue per Engineer Employee</t>
  </si>
  <si>
    <t>Engineers / Project Managers per Outside Sales Employee</t>
  </si>
  <si>
    <t>Service &amp; Installation Revenue per Service Tech/Installation Emp.</t>
  </si>
  <si>
    <t>Service &amp; Installation Margin per Service Tech/Installation Emp.</t>
  </si>
  <si>
    <t>Copy for Data File through Row 625</t>
  </si>
  <si>
    <t>EMP_OTH</t>
  </si>
  <si>
    <t>&lt;= Add Warehouse employees to Other for ES, Use this line for Other Employees in the ES Analysis</t>
  </si>
  <si>
    <t>Name/Title</t>
  </si>
  <si>
    <t>Type</t>
  </si>
  <si>
    <t>Survey Contact</t>
  </si>
  <si>
    <t>Survey Email</t>
  </si>
  <si>
    <t>Data Contact</t>
  </si>
  <si>
    <t>Data email</t>
  </si>
  <si>
    <t>Address</t>
  </si>
  <si>
    <r>
      <t>For your</t>
    </r>
    <r>
      <rPr>
        <b/>
        <sz val="10"/>
        <rFont val="Arial"/>
        <family val="2"/>
      </rPr>
      <t xml:space="preserve"> FREE </t>
    </r>
    <r>
      <rPr>
        <sz val="10"/>
        <rFont val="Arial"/>
        <family val="2"/>
      </rPr>
      <t xml:space="preserve">individual </t>
    </r>
    <r>
      <rPr>
        <b/>
        <sz val="10"/>
        <rFont val="Arial"/>
        <family val="2"/>
      </rPr>
      <t>Financial Benchmarking Dashboard</t>
    </r>
    <r>
      <rPr>
        <sz val="10"/>
        <rFont val="Arial"/>
        <family val="2"/>
      </rPr>
      <t xml:space="preserve"> which compares your company's</t>
    </r>
  </si>
  <si>
    <t>Or email your completed questionnaire to:</t>
  </si>
  <si>
    <t>Upload your survey using Dropbox link:</t>
  </si>
  <si>
    <t>Upload with Dropbox</t>
  </si>
  <si>
    <t>Systems Integrator</t>
  </si>
  <si>
    <t>DSC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</si>
</sst>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mmmm\ d\,\ yyyy"/>
    <numFmt numFmtId="167" formatCode="0.0%"/>
    <numFmt numFmtId="168" formatCode="&quot;$&quot;#,##0"/>
    <numFmt numFmtId="169" formatCode="00000"/>
    <numFmt numFmtId="170" formatCode="[&lt;=9999999]###\-####;\(###\)\ ###\-####"/>
    <numFmt numFmtId="171" formatCode="_(* #,##0_);_(* \(#,##0\);_(* &quot;-&quot;??_);_(@_)"/>
    <numFmt numFmtId="172" formatCode="General_)"/>
    <numFmt numFmtId="173" formatCode="[h]:mm"/>
    <numFmt numFmtId="174" formatCode="&quot;$&quot;#,##0;[Red]\-&quot;$&quot;#,##0"/>
    <numFmt numFmtId="175" formatCode="#,##0.00\ &quot;Pts&quot;;[Red]\-#,##0.00\ &quot;Pts&quot;"/>
    <numFmt numFmtId="176" formatCode="#,##0.00&quot; $&quot;;\-#,##0.00&quot; $&quot;"/>
    <numFmt numFmtId="177" formatCode="#,##0.0000000"/>
    <numFmt numFmtId="178" formatCode="0.000%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 Black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0"/>
      <name val="Cambria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9"/>
      <name val="Helvetica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2"/>
      <name val="Courier"/>
      <family val="3"/>
    </font>
    <font>
      <sz val="11"/>
      <name val="??"/>
      <family val="3"/>
      <charset val="129"/>
    </font>
    <font>
      <b/>
      <u/>
      <sz val="11"/>
      <color indexed="37"/>
      <name val="Arial"/>
      <family val="2"/>
    </font>
    <font>
      <sz val="7"/>
      <name val="Small Fonts"/>
      <family val="2"/>
    </font>
    <font>
      <sz val="8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.5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4"/>
      <color theme="0"/>
      <name val="Arial Black"/>
      <family val="2"/>
    </font>
    <font>
      <b/>
      <sz val="12"/>
      <color theme="0"/>
      <name val="Arial"/>
      <family val="2"/>
    </font>
    <font>
      <b/>
      <u/>
      <sz val="12"/>
      <color indexed="12"/>
      <name val="Arial"/>
      <family val="2"/>
    </font>
    <font>
      <b/>
      <sz val="11"/>
      <color theme="0"/>
      <name val="Arial Black"/>
      <family val="2"/>
    </font>
    <font>
      <sz val="11"/>
      <color theme="0"/>
      <name val="Arial Black"/>
      <family val="2"/>
    </font>
    <font>
      <sz val="14"/>
      <name val="Arial Black"/>
      <family val="2"/>
    </font>
  </fonts>
  <fills count="3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5E6A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2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2"/>
      </top>
      <bottom style="double">
        <color indexed="52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2"/>
      </top>
      <bottom style="double">
        <color indexed="52"/>
      </bottom>
      <diagonal/>
    </border>
    <border>
      <left/>
      <right/>
      <top/>
      <bottom style="thick">
        <color rgb="FF0070C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40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2" borderId="0" applyNumberFormat="0" applyBorder="0" applyAlignment="0" applyProtection="0"/>
    <xf numFmtId="0" fontId="24" fillId="4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2" borderId="0" applyNumberFormat="0" applyBorder="0" applyAlignment="0" applyProtection="0"/>
    <xf numFmtId="0" fontId="24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3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6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173" fontId="6" fillId="14" borderId="1">
      <alignment horizontal="center" vertical="center"/>
    </xf>
    <xf numFmtId="173" fontId="6" fillId="14" borderId="1">
      <alignment horizontal="center" vertical="center"/>
    </xf>
    <xf numFmtId="0" fontId="26" fillId="15" borderId="0" applyNumberFormat="0" applyBorder="0" applyAlignment="0" applyProtection="0"/>
    <xf numFmtId="3" fontId="41" fillId="0" borderId="0"/>
    <xf numFmtId="0" fontId="27" fillId="16" borderId="2" applyNumberFormat="0" applyAlignment="0" applyProtection="0"/>
    <xf numFmtId="0" fontId="28" fillId="17" borderId="3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4" fontId="47" fillId="0" borderId="0">
      <protection locked="0"/>
    </xf>
    <xf numFmtId="172" fontId="46" fillId="0" borderId="0"/>
    <xf numFmtId="0" fontId="29" fillId="0" borderId="0" applyNumberFormat="0" applyFill="0" applyBorder="0" applyAlignment="0" applyProtection="0"/>
    <xf numFmtId="175" fontId="6" fillId="0" borderId="0">
      <protection locked="0"/>
    </xf>
    <xf numFmtId="175" fontId="6" fillId="0" borderId="0">
      <protection locked="0"/>
    </xf>
    <xf numFmtId="0" fontId="30" fillId="18" borderId="0" applyNumberFormat="0" applyBorder="0" applyAlignment="0" applyProtection="0"/>
    <xf numFmtId="38" fontId="7" fillId="19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0" borderId="4" applyNumberFormat="0" applyAlignment="0" applyProtection="0">
      <alignment horizontal="left" vertical="center"/>
    </xf>
    <xf numFmtId="0" fontId="3" fillId="0" borderId="5">
      <alignment horizontal="left" vertical="center"/>
    </xf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0" fontId="40" fillId="0" borderId="9" applyNumberFormat="0" applyFill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0" fontId="7" fillId="20" borderId="10" applyNumberFormat="0" applyBorder="0" applyAlignment="0" applyProtection="0"/>
    <xf numFmtId="10" fontId="7" fillId="20" borderId="10" applyNumberFormat="0" applyBorder="0" applyAlignment="0" applyProtection="0"/>
    <xf numFmtId="10" fontId="7" fillId="20" borderId="10" applyNumberFormat="0" applyBorder="0" applyAlignment="0" applyProtection="0"/>
    <xf numFmtId="0" fontId="34" fillId="7" borderId="2" applyNumberFormat="0" applyAlignment="0" applyProtection="0"/>
    <xf numFmtId="0" fontId="35" fillId="0" borderId="11" applyNumberFormat="0" applyFill="0" applyAlignment="0" applyProtection="0"/>
    <xf numFmtId="0" fontId="36" fillId="7" borderId="0" applyNumberFormat="0" applyBorder="0" applyAlignment="0" applyProtection="0"/>
    <xf numFmtId="37" fontId="49" fillId="0" borderId="0"/>
    <xf numFmtId="177" fontId="6" fillId="0" borderId="0"/>
    <xf numFmtId="177" fontId="6" fillId="0" borderId="0"/>
    <xf numFmtId="0" fontId="55" fillId="0" borderId="0"/>
    <xf numFmtId="0" fontId="6" fillId="0" borderId="0"/>
    <xf numFmtId="0" fontId="6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5" fillId="0" borderId="0"/>
    <xf numFmtId="0" fontId="2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5" fillId="0" borderId="0"/>
    <xf numFmtId="0" fontId="21" fillId="0" borderId="0"/>
    <xf numFmtId="0" fontId="6" fillId="0" borderId="0"/>
    <xf numFmtId="0" fontId="6" fillId="0" borderId="0"/>
    <xf numFmtId="0" fontId="55" fillId="0" borderId="0"/>
    <xf numFmtId="0" fontId="55" fillId="0" borderId="0"/>
    <xf numFmtId="0" fontId="21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55" fillId="0" borderId="0"/>
    <xf numFmtId="0" fontId="6" fillId="4" borderId="12" applyNumberFormat="0" applyFont="0" applyAlignment="0" applyProtection="0"/>
    <xf numFmtId="0" fontId="6" fillId="4" borderId="12" applyNumberFormat="0" applyFont="0" applyAlignment="0" applyProtection="0"/>
    <xf numFmtId="0" fontId="37" fillId="16" borderId="13" applyNumberFormat="0" applyAlignment="0" applyProtection="0"/>
    <xf numFmtId="40" fontId="42" fillId="21" borderId="0">
      <alignment horizontal="right"/>
    </xf>
    <xf numFmtId="0" fontId="43" fillId="21" borderId="0">
      <alignment horizontal="right"/>
    </xf>
    <xf numFmtId="0" fontId="44" fillId="21" borderId="14"/>
    <xf numFmtId="0" fontId="44" fillId="0" borderId="0" applyBorder="0">
      <alignment horizontal="centerContinuous"/>
    </xf>
    <xf numFmtId="0" fontId="45" fillId="0" borderId="0" applyBorder="0">
      <alignment horizontal="centerContinuous"/>
    </xf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5" applyNumberFormat="0" applyFill="0" applyAlignment="0" applyProtection="0"/>
    <xf numFmtId="37" fontId="7" fillId="22" borderId="0" applyNumberFormat="0" applyBorder="0" applyAlignment="0" applyProtection="0"/>
    <xf numFmtId="37" fontId="7" fillId="0" borderId="0"/>
    <xf numFmtId="3" fontId="50" fillId="0" borderId="9" applyProtection="0"/>
    <xf numFmtId="0" fontId="35" fillId="0" borderId="0" applyNumberFormat="0" applyFill="0" applyBorder="0" applyAlignment="0" applyProtection="0"/>
    <xf numFmtId="0" fontId="2" fillId="0" borderId="0"/>
    <xf numFmtId="173" fontId="2" fillId="14" borderId="1">
      <alignment horizontal="center" vertical="center"/>
    </xf>
    <xf numFmtId="173" fontId="2" fillId="14" borderId="1">
      <alignment horizontal="center"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5" fontId="2" fillId="0" borderId="0">
      <protection locked="0"/>
    </xf>
    <xf numFmtId="175" fontId="2" fillId="0" borderId="0">
      <protection locked="0"/>
    </xf>
    <xf numFmtId="176" fontId="2" fillId="0" borderId="0">
      <protection locked="0"/>
    </xf>
    <xf numFmtId="176" fontId="2" fillId="0" borderId="0">
      <protection locked="0"/>
    </xf>
    <xf numFmtId="176" fontId="2" fillId="0" borderId="0">
      <protection locked="0"/>
    </xf>
    <xf numFmtId="176" fontId="2" fillId="0" borderId="0">
      <protection locked="0"/>
    </xf>
    <xf numFmtId="177" fontId="2" fillId="0" borderId="0"/>
    <xf numFmtId="177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4" borderId="12" applyNumberFormat="0" applyFont="0" applyAlignment="0" applyProtection="0"/>
    <xf numFmtId="0" fontId="2" fillId="4" borderId="12" applyNumberFormat="0" applyFont="0" applyAlignment="0" applyProtection="0"/>
    <xf numFmtId="0" fontId="37" fillId="16" borderId="42" applyNumberFormat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9" fillId="0" borderId="43" applyNumberFormat="0" applyFill="0" applyAlignment="0" applyProtection="0"/>
    <xf numFmtId="173" fontId="2" fillId="14" borderId="1">
      <alignment horizontal="center"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5" fontId="2" fillId="0" borderId="0">
      <protection locked="0"/>
    </xf>
    <xf numFmtId="176" fontId="2" fillId="0" borderId="0">
      <protection locked="0"/>
    </xf>
    <xf numFmtId="176" fontId="2" fillId="0" borderId="0">
      <protection locked="0"/>
    </xf>
    <xf numFmtId="177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4" borderId="12" applyNumberFormat="0" applyFont="0" applyAlignment="0" applyProtection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3">
    <xf numFmtId="0" fontId="0" fillId="0" borderId="0" xfId="0"/>
    <xf numFmtId="0" fontId="4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/>
    </xf>
    <xf numFmtId="49" fontId="0" fillId="0" borderId="0" xfId="0" applyNumberFormat="1"/>
    <xf numFmtId="3" fontId="6" fillId="0" borderId="0" xfId="0" applyNumberFormat="1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7" fillId="0" borderId="0" xfId="0" applyFont="1"/>
    <xf numFmtId="49" fontId="4" fillId="0" borderId="0" xfId="0" applyNumberFormat="1" applyFont="1"/>
    <xf numFmtId="168" fontId="0" fillId="0" borderId="0" xfId="0" applyNumberFormat="1"/>
    <xf numFmtId="0" fontId="0" fillId="14" borderId="0" xfId="0" applyFill="1"/>
    <xf numFmtId="0" fontId="7" fillId="14" borderId="0" xfId="0" applyFont="1" applyFill="1"/>
    <xf numFmtId="3" fontId="4" fillId="0" borderId="0" xfId="0" applyNumberFormat="1" applyFont="1"/>
    <xf numFmtId="0" fontId="0" fillId="0" borderId="14" xfId="0" applyBorder="1"/>
    <xf numFmtId="0" fontId="9" fillId="0" borderId="0" xfId="64" applyFill="1" applyBorder="1" applyAlignment="1" applyProtection="1"/>
    <xf numFmtId="0" fontId="2" fillId="0" borderId="0" xfId="64" applyFont="1" applyBorder="1" applyAlignment="1" applyProtection="1">
      <alignment horizontal="left"/>
    </xf>
    <xf numFmtId="0" fontId="18" fillId="0" borderId="0" xfId="0" applyFont="1"/>
    <xf numFmtId="0" fontId="4" fillId="0" borderId="0" xfId="0" applyFont="1" applyAlignment="1">
      <alignment horizontal="right"/>
    </xf>
    <xf numFmtId="0" fontId="12" fillId="0" borderId="0" xfId="0" applyFont="1"/>
    <xf numFmtId="0" fontId="0" fillId="0" borderId="0" xfId="0" applyProtection="1">
      <protection locked="0"/>
    </xf>
    <xf numFmtId="165" fontId="20" fillId="0" borderId="0" xfId="0" quotePrefix="1" applyNumberFormat="1" applyFont="1"/>
    <xf numFmtId="0" fontId="20" fillId="0" borderId="0" xfId="118" quotePrefix="1" applyFont="1"/>
    <xf numFmtId="3" fontId="20" fillId="0" borderId="0" xfId="118" quotePrefix="1" applyNumberFormat="1" applyFont="1"/>
    <xf numFmtId="0" fontId="20" fillId="0" borderId="0" xfId="0" applyFont="1"/>
    <xf numFmtId="0" fontId="15" fillId="0" borderId="0" xfId="0" applyFont="1"/>
    <xf numFmtId="49" fontId="0" fillId="0" borderId="0" xfId="0" applyNumberFormat="1" applyAlignment="1">
      <alignment horizontal="right"/>
    </xf>
    <xf numFmtId="0" fontId="10" fillId="1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/>
    <xf numFmtId="0" fontId="0" fillId="0" borderId="16" xfId="0" applyBorder="1"/>
    <xf numFmtId="0" fontId="0" fillId="0" borderId="17" xfId="0" applyBorder="1"/>
    <xf numFmtId="0" fontId="7" fillId="0" borderId="16" xfId="0" applyFont="1" applyBorder="1"/>
    <xf numFmtId="0" fontId="7" fillId="0" borderId="18" xfId="0" applyFont="1" applyBorder="1"/>
    <xf numFmtId="0" fontId="0" fillId="0" borderId="18" xfId="0" applyBorder="1"/>
    <xf numFmtId="0" fontId="0" fillId="0" borderId="19" xfId="0" applyBorder="1"/>
    <xf numFmtId="0" fontId="4" fillId="0" borderId="17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7" xfId="0" applyBorder="1" applyAlignment="1">
      <alignment horizontal="right"/>
    </xf>
    <xf numFmtId="0" fontId="17" fillId="0" borderId="0" xfId="0" applyFont="1" applyAlignment="1">
      <alignment horizontal="right"/>
    </xf>
    <xf numFmtId="0" fontId="6" fillId="0" borderId="20" xfId="0" applyFont="1" applyBorder="1" applyAlignment="1">
      <alignment horizontal="right"/>
    </xf>
    <xf numFmtId="0" fontId="0" fillId="14" borderId="0" xfId="0" applyFill="1" applyAlignment="1">
      <alignment horizontal="right"/>
    </xf>
    <xf numFmtId="0" fontId="4" fillId="14" borderId="0" xfId="0" applyFont="1" applyFill="1"/>
    <xf numFmtId="3" fontId="0" fillId="14" borderId="0" xfId="0" applyNumberFormat="1" applyFill="1"/>
    <xf numFmtId="0" fontId="4" fillId="14" borderId="0" xfId="0" applyFont="1" applyFill="1" applyAlignment="1">
      <alignment horizontal="right"/>
    </xf>
    <xf numFmtId="3" fontId="4" fillId="14" borderId="0" xfId="0" applyNumberFormat="1" applyFont="1" applyFill="1"/>
    <xf numFmtId="0" fontId="17" fillId="14" borderId="0" xfId="0" applyFont="1" applyFill="1"/>
    <xf numFmtId="0" fontId="5" fillId="0" borderId="0" xfId="0" applyFont="1" applyAlignment="1">
      <alignment horizontal="center"/>
    </xf>
    <xf numFmtId="168" fontId="0" fillId="0" borderId="16" xfId="0" applyNumberFormat="1" applyBorder="1"/>
    <xf numFmtId="0" fontId="0" fillId="0" borderId="0" xfId="0" applyAlignment="1">
      <alignment vertical="center"/>
    </xf>
    <xf numFmtId="0" fontId="0" fillId="0" borderId="21" xfId="0" applyBorder="1" applyAlignment="1">
      <alignment horizontal="right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>
      <alignment horizontal="right"/>
    </xf>
    <xf numFmtId="0" fontId="17" fillId="0" borderId="16" xfId="0" applyFont="1" applyBorder="1"/>
    <xf numFmtId="0" fontId="6" fillId="0" borderId="16" xfId="0" applyFont="1" applyBorder="1"/>
    <xf numFmtId="0" fontId="6" fillId="0" borderId="18" xfId="0" applyFont="1" applyBorder="1"/>
    <xf numFmtId="168" fontId="0" fillId="0" borderId="19" xfId="0" applyNumberFormat="1" applyBorder="1"/>
    <xf numFmtId="0" fontId="17" fillId="0" borderId="0" xfId="0" applyFont="1" applyProtection="1">
      <protection hidden="1"/>
    </xf>
    <xf numFmtId="0" fontId="0" fillId="0" borderId="22" xfId="0" applyBorder="1"/>
    <xf numFmtId="3" fontId="0" fillId="0" borderId="23" xfId="0" applyNumberFormat="1" applyBorder="1"/>
    <xf numFmtId="0" fontId="22" fillId="0" borderId="0" xfId="0" applyFont="1"/>
    <xf numFmtId="3" fontId="4" fillId="0" borderId="0" xfId="118" quotePrefix="1" applyNumberFormat="1" applyFont="1"/>
    <xf numFmtId="0" fontId="23" fillId="0" borderId="0" xfId="0" applyFont="1"/>
    <xf numFmtId="0" fontId="0" fillId="0" borderId="21" xfId="0" applyBorder="1"/>
    <xf numFmtId="3" fontId="0" fillId="23" borderId="10" xfId="0" applyNumberFormat="1" applyFill="1" applyBorder="1" applyProtection="1">
      <protection locked="0"/>
    </xf>
    <xf numFmtId="3" fontId="0" fillId="23" borderId="10" xfId="0" applyNumberFormat="1" applyFill="1" applyBorder="1" applyAlignment="1" applyProtection="1">
      <alignment vertical="center"/>
      <protection locked="0"/>
    </xf>
    <xf numFmtId="164" fontId="6" fillId="23" borderId="10" xfId="0" applyNumberFormat="1" applyFont="1" applyFill="1" applyBorder="1" applyAlignment="1" applyProtection="1">
      <alignment vertical="center"/>
      <protection locked="0"/>
    </xf>
    <xf numFmtId="164" fontId="4" fillId="0" borderId="0" xfId="0" applyNumberFormat="1" applyFont="1" applyAlignment="1">
      <alignment vertical="center"/>
    </xf>
    <xf numFmtId="164" fontId="6" fillId="0" borderId="0" xfId="0" quotePrefix="1" applyNumberFormat="1" applyFont="1"/>
    <xf numFmtId="164" fontId="6" fillId="24" borderId="0" xfId="0" applyNumberFormat="1" applyFont="1" applyFill="1"/>
    <xf numFmtId="3" fontId="4" fillId="23" borderId="10" xfId="0" applyNumberFormat="1" applyFont="1" applyFill="1" applyBorder="1" applyProtection="1">
      <protection locked="0"/>
    </xf>
    <xf numFmtId="3" fontId="6" fillId="24" borderId="0" xfId="0" applyNumberFormat="1" applyFont="1" applyFill="1"/>
    <xf numFmtId="3" fontId="11" fillId="24" borderId="0" xfId="0" applyNumberFormat="1" applyFont="1" applyFill="1"/>
    <xf numFmtId="3" fontId="6" fillId="23" borderId="10" xfId="0" applyNumberFormat="1" applyFont="1" applyFill="1" applyBorder="1" applyProtection="1">
      <protection locked="0"/>
    </xf>
    <xf numFmtId="164" fontId="6" fillId="25" borderId="0" xfId="0" applyNumberFormat="1" applyFont="1" applyFill="1"/>
    <xf numFmtId="3" fontId="0" fillId="23" borderId="24" xfId="0" applyNumberFormat="1" applyFill="1" applyBorder="1" applyProtection="1">
      <protection locked="0"/>
    </xf>
    <xf numFmtId="0" fontId="0" fillId="26" borderId="0" xfId="0" applyFill="1"/>
    <xf numFmtId="0" fontId="0" fillId="26" borderId="25" xfId="0" applyFill="1" applyBorder="1"/>
    <xf numFmtId="0" fontId="0" fillId="26" borderId="26" xfId="0" applyFill="1" applyBorder="1"/>
    <xf numFmtId="0" fontId="4" fillId="26" borderId="26" xfId="0" applyFont="1" applyFill="1" applyBorder="1" applyAlignment="1">
      <alignment horizontal="center"/>
    </xf>
    <xf numFmtId="0" fontId="4" fillId="26" borderId="26" xfId="0" applyFont="1" applyFill="1" applyBorder="1" applyAlignment="1">
      <alignment horizontal="center" vertical="center"/>
    </xf>
    <xf numFmtId="0" fontId="0" fillId="26" borderId="27" xfId="0" applyFill="1" applyBorder="1"/>
    <xf numFmtId="0" fontId="0" fillId="26" borderId="28" xfId="0" applyFill="1" applyBorder="1"/>
    <xf numFmtId="0" fontId="4" fillId="26" borderId="0" xfId="0" applyFont="1" applyFill="1" applyAlignment="1">
      <alignment horizontal="center"/>
    </xf>
    <xf numFmtId="0" fontId="6" fillId="26" borderId="0" xfId="0" applyFont="1" applyFill="1" applyAlignment="1">
      <alignment horizontal="center" vertical="center"/>
    </xf>
    <xf numFmtId="0" fontId="0" fillId="26" borderId="29" xfId="0" applyFill="1" applyBorder="1"/>
    <xf numFmtId="0" fontId="0" fillId="26" borderId="30" xfId="0" applyFill="1" applyBorder="1"/>
    <xf numFmtId="0" fontId="0" fillId="26" borderId="31" xfId="0" applyFill="1" applyBorder="1"/>
    <xf numFmtId="0" fontId="6" fillId="26" borderId="31" xfId="0" applyFont="1" applyFill="1" applyBorder="1" applyAlignment="1">
      <alignment horizontal="center"/>
    </xf>
    <xf numFmtId="0" fontId="6" fillId="26" borderId="31" xfId="0" applyFont="1" applyFill="1" applyBorder="1" applyAlignment="1">
      <alignment horizontal="center" vertical="center"/>
    </xf>
    <xf numFmtId="0" fontId="0" fillId="26" borderId="32" xfId="0" applyFill="1" applyBorder="1"/>
    <xf numFmtId="168" fontId="6" fillId="0" borderId="0" xfId="0" applyNumberFormat="1" applyFont="1"/>
    <xf numFmtId="3" fontId="0" fillId="0" borderId="10" xfId="0" applyNumberFormat="1" applyBorder="1"/>
    <xf numFmtId="168" fontId="0" fillId="0" borderId="10" xfId="0" applyNumberFormat="1" applyBorder="1"/>
    <xf numFmtId="3" fontId="0" fillId="0" borderId="24" xfId="0" applyNumberFormat="1" applyBorder="1"/>
    <xf numFmtId="0" fontId="0" fillId="0" borderId="33" xfId="0" applyBorder="1"/>
    <xf numFmtId="0" fontId="0" fillId="0" borderId="34" xfId="0" applyBorder="1"/>
    <xf numFmtId="168" fontId="0" fillId="0" borderId="34" xfId="0" applyNumberFormat="1" applyBorder="1"/>
    <xf numFmtId="164" fontId="6" fillId="0" borderId="10" xfId="0" applyNumberFormat="1" applyFont="1" applyBorder="1" applyAlignment="1">
      <alignment vertical="center"/>
    </xf>
    <xf numFmtId="0" fontId="53" fillId="0" borderId="0" xfId="0" applyFont="1"/>
    <xf numFmtId="1" fontId="6" fillId="0" borderId="0" xfId="0" applyNumberFormat="1" applyFont="1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9" fontId="6" fillId="0" borderId="0" xfId="0" applyNumberFormat="1" applyFont="1"/>
    <xf numFmtId="164" fontId="6" fillId="0" borderId="0" xfId="0" applyNumberFormat="1" applyFont="1"/>
    <xf numFmtId="164" fontId="6" fillId="27" borderId="0" xfId="0" applyNumberFormat="1" applyFont="1" applyFill="1"/>
    <xf numFmtId="164" fontId="4" fillId="0" borderId="0" xfId="0" applyNumberFormat="1" applyFont="1"/>
    <xf numFmtId="168" fontId="6" fillId="27" borderId="0" xfId="0" applyNumberFormat="1" applyFont="1" applyFill="1"/>
    <xf numFmtId="168" fontId="6" fillId="0" borderId="0" xfId="0" quotePrefix="1" applyNumberFormat="1" applyFont="1"/>
    <xf numFmtId="168" fontId="4" fillId="0" borderId="0" xfId="0" applyNumberFormat="1" applyFont="1"/>
    <xf numFmtId="168" fontId="6" fillId="0" borderId="0" xfId="118" quotePrefix="1" applyNumberFormat="1"/>
    <xf numFmtId="168" fontId="6" fillId="0" borderId="0" xfId="142" quotePrefix="1" applyNumberFormat="1"/>
    <xf numFmtId="168" fontId="6" fillId="0" borderId="0" xfId="140" quotePrefix="1" applyNumberFormat="1"/>
    <xf numFmtId="0" fontId="6" fillId="24" borderId="0" xfId="118" quotePrefix="1" applyFill="1"/>
    <xf numFmtId="3" fontId="6" fillId="24" borderId="0" xfId="118" quotePrefix="1" applyNumberFormat="1" applyFill="1"/>
    <xf numFmtId="3" fontId="11" fillId="0" borderId="0" xfId="0" applyNumberFormat="1" applyFont="1"/>
    <xf numFmtId="3" fontId="6" fillId="0" borderId="0" xfId="118" quotePrefix="1" applyNumberFormat="1"/>
    <xf numFmtId="3" fontId="6" fillId="28" borderId="0" xfId="0" applyNumberFormat="1" applyFont="1" applyFill="1"/>
    <xf numFmtId="3" fontId="4" fillId="25" borderId="0" xfId="0" applyNumberFormat="1" applyFont="1" applyFill="1"/>
    <xf numFmtId="168" fontId="6" fillId="23" borderId="0" xfId="0" applyNumberFormat="1" applyFont="1" applyFill="1"/>
    <xf numFmtId="168" fontId="6" fillId="27" borderId="0" xfId="0" quotePrefix="1" applyNumberFormat="1" applyFont="1" applyFill="1" applyAlignment="1">
      <alignment vertical="center"/>
    </xf>
    <xf numFmtId="3" fontId="6" fillId="23" borderId="0" xfId="0" applyNumberFormat="1" applyFont="1" applyFill="1"/>
    <xf numFmtId="3" fontId="6" fillId="27" borderId="0" xfId="0" applyNumberFormat="1" applyFont="1" applyFill="1"/>
    <xf numFmtId="0" fontId="6" fillId="24" borderId="0" xfId="0" applyFont="1" applyFill="1"/>
    <xf numFmtId="168" fontId="23" fillId="0" borderId="0" xfId="0" applyNumberFormat="1" applyFont="1"/>
    <xf numFmtId="3" fontId="23" fillId="0" borderId="0" xfId="0" applyNumberFormat="1" applyFont="1"/>
    <xf numFmtId="3" fontId="23" fillId="27" borderId="0" xfId="0" applyNumberFormat="1" applyFont="1" applyFill="1"/>
    <xf numFmtId="178" fontId="6" fillId="0" borderId="0" xfId="228" applyNumberFormat="1" applyFont="1" applyFill="1" applyBorder="1" applyProtection="1"/>
    <xf numFmtId="168" fontId="6" fillId="0" borderId="0" xfId="0" quotePrefix="1" applyNumberFormat="1" applyFont="1" applyAlignment="1">
      <alignment vertical="center"/>
    </xf>
    <xf numFmtId="168" fontId="6" fillId="29" borderId="0" xfId="0" quotePrefix="1" applyNumberFormat="1" applyFont="1" applyFill="1" applyAlignment="1">
      <alignment vertical="center"/>
    </xf>
    <xf numFmtId="168" fontId="0" fillId="30" borderId="0" xfId="0" quotePrefix="1" applyNumberFormat="1" applyFill="1" applyAlignment="1">
      <alignment vertical="center"/>
    </xf>
    <xf numFmtId="168" fontId="6" fillId="30" borderId="0" xfId="0" quotePrefix="1" applyNumberFormat="1" applyFont="1" applyFill="1" applyAlignment="1">
      <alignment vertical="center"/>
    </xf>
    <xf numFmtId="167" fontId="6" fillId="0" borderId="0" xfId="0" quotePrefix="1" applyNumberFormat="1" applyFont="1" applyAlignment="1">
      <alignment vertical="center"/>
    </xf>
    <xf numFmtId="167" fontId="0" fillId="30" borderId="0" xfId="0" quotePrefix="1" applyNumberFormat="1" applyFill="1" applyAlignment="1">
      <alignment vertical="center"/>
    </xf>
    <xf numFmtId="165" fontId="0" fillId="0" borderId="0" xfId="0" quotePrefix="1" applyNumberFormat="1" applyAlignment="1">
      <alignment vertical="center"/>
    </xf>
    <xf numFmtId="167" fontId="6" fillId="30" borderId="0" xfId="0" quotePrefix="1" applyNumberFormat="1" applyFont="1" applyFill="1" applyAlignment="1">
      <alignment vertical="center"/>
    </xf>
    <xf numFmtId="165" fontId="6" fillId="23" borderId="0" xfId="0" quotePrefix="1" applyNumberFormat="1" applyFont="1" applyFill="1" applyAlignment="1">
      <alignment vertical="center"/>
    </xf>
    <xf numFmtId="167" fontId="6" fillId="23" borderId="0" xfId="0" quotePrefix="1" applyNumberFormat="1" applyFont="1" applyFill="1" applyAlignment="1">
      <alignment vertical="center"/>
    </xf>
    <xf numFmtId="165" fontId="4" fillId="30" borderId="0" xfId="0" quotePrefix="1" applyNumberFormat="1" applyFont="1" applyFill="1" applyAlignment="1">
      <alignment vertical="center"/>
    </xf>
    <xf numFmtId="165" fontId="6" fillId="30" borderId="0" xfId="0" quotePrefix="1" applyNumberFormat="1" applyFont="1" applyFill="1" applyAlignment="1">
      <alignment vertical="center"/>
    </xf>
    <xf numFmtId="165" fontId="0" fillId="30" borderId="0" xfId="0" quotePrefix="1" applyNumberFormat="1" applyFill="1" applyAlignment="1">
      <alignment vertical="center"/>
    </xf>
    <xf numFmtId="167" fontId="4" fillId="30" borderId="0" xfId="0" quotePrefix="1" applyNumberFormat="1" applyFont="1" applyFill="1" applyAlignment="1">
      <alignment vertical="center"/>
    </xf>
    <xf numFmtId="165" fontId="6" fillId="31" borderId="0" xfId="0" quotePrefix="1" applyNumberFormat="1" applyFont="1" applyFill="1" applyAlignment="1">
      <alignment vertical="center"/>
    </xf>
    <xf numFmtId="167" fontId="0" fillId="0" borderId="0" xfId="0" quotePrefix="1" applyNumberFormat="1" applyAlignment="1">
      <alignment vertical="center"/>
    </xf>
    <xf numFmtId="168" fontId="0" fillId="0" borderId="0" xfId="0" quotePrefix="1" applyNumberFormat="1" applyAlignment="1">
      <alignment vertical="center"/>
    </xf>
    <xf numFmtId="165" fontId="6" fillId="30" borderId="0" xfId="228" quotePrefix="1" applyNumberFormat="1" applyFont="1" applyFill="1" applyAlignment="1">
      <alignment vertical="center"/>
    </xf>
    <xf numFmtId="165" fontId="0" fillId="32" borderId="0" xfId="0" quotePrefix="1" applyNumberFormat="1" applyFill="1" applyAlignment="1">
      <alignment vertical="center"/>
    </xf>
    <xf numFmtId="165" fontId="0" fillId="23" borderId="0" xfId="0" quotePrefix="1" applyNumberFormat="1" applyFill="1" applyAlignment="1">
      <alignment vertical="center"/>
    </xf>
    <xf numFmtId="165" fontId="0" fillId="27" borderId="0" xfId="0" quotePrefix="1" applyNumberFormat="1" applyFill="1" applyAlignment="1">
      <alignment vertical="center"/>
    </xf>
    <xf numFmtId="165" fontId="6" fillId="0" borderId="0" xfId="0" quotePrefix="1" applyNumberFormat="1" applyFont="1" applyAlignment="1">
      <alignment vertical="center"/>
    </xf>
    <xf numFmtId="171" fontId="0" fillId="0" borderId="0" xfId="31" applyNumberFormat="1" applyFont="1"/>
    <xf numFmtId="171" fontId="0" fillId="0" borderId="0" xfId="31" applyNumberFormat="1" applyFont="1" applyAlignment="1">
      <alignment vertical="center"/>
    </xf>
    <xf numFmtId="165" fontId="0" fillId="0" borderId="0" xfId="0" applyNumberFormat="1"/>
    <xf numFmtId="165" fontId="0" fillId="27" borderId="0" xfId="0" applyNumberFormat="1" applyFill="1"/>
    <xf numFmtId="167" fontId="4" fillId="27" borderId="0" xfId="228" applyNumberFormat="1" applyFont="1" applyFill="1"/>
    <xf numFmtId="167" fontId="0" fillId="0" borderId="0" xfId="228" applyNumberFormat="1" applyFont="1"/>
    <xf numFmtId="168" fontId="6" fillId="0" borderId="0" xfId="43" quotePrefix="1" applyNumberFormat="1" applyFont="1"/>
    <xf numFmtId="171" fontId="6" fillId="0" borderId="0" xfId="31" quotePrefix="1" applyNumberFormat="1" applyFont="1"/>
    <xf numFmtId="168" fontId="6" fillId="0" borderId="0" xfId="160" quotePrefix="1" applyNumberFormat="1"/>
    <xf numFmtId="167" fontId="0" fillId="0" borderId="0" xfId="0" applyNumberFormat="1"/>
    <xf numFmtId="165" fontId="11" fillId="0" borderId="0" xfId="228" applyNumberFormat="1" applyFont="1"/>
    <xf numFmtId="165" fontId="0" fillId="0" borderId="0" xfId="31" applyNumberFormat="1" applyFont="1"/>
    <xf numFmtId="165" fontId="0" fillId="0" borderId="0" xfId="31" applyNumberFormat="1" applyFont="1" applyAlignment="1">
      <alignment vertical="center"/>
    </xf>
    <xf numFmtId="165" fontId="11" fillId="0" borderId="0" xfId="31" applyNumberFormat="1" applyFont="1" applyAlignment="1">
      <alignment vertical="center"/>
    </xf>
    <xf numFmtId="165" fontId="6" fillId="0" borderId="0" xfId="31" quotePrefix="1" applyNumberFormat="1" applyFont="1"/>
    <xf numFmtId="167" fontId="0" fillId="23" borderId="0" xfId="0" quotePrefix="1" applyNumberFormat="1" applyFill="1" applyAlignment="1">
      <alignment vertical="center"/>
    </xf>
    <xf numFmtId="168" fontId="0" fillId="0" borderId="0" xfId="228" applyNumberFormat="1" applyFont="1"/>
    <xf numFmtId="3" fontId="6" fillId="0" borderId="0" xfId="31" quotePrefix="1" applyNumberFormat="1" applyFont="1"/>
    <xf numFmtId="168" fontId="6" fillId="0" borderId="0" xfId="168" quotePrefix="1" applyNumberFormat="1"/>
    <xf numFmtId="167" fontId="6" fillId="0" borderId="0" xfId="31" quotePrefix="1" applyNumberFormat="1" applyFont="1"/>
    <xf numFmtId="164" fontId="11" fillId="0" borderId="0" xfId="0" applyNumberFormat="1" applyFont="1"/>
    <xf numFmtId="168" fontId="6" fillId="0" borderId="0" xfId="31" quotePrefix="1" applyNumberFormat="1" applyFont="1"/>
    <xf numFmtId="167" fontId="23" fillId="0" borderId="0" xfId="0" applyNumberFormat="1" applyFont="1"/>
    <xf numFmtId="0" fontId="16" fillId="0" borderId="0" xfId="0" applyFont="1"/>
    <xf numFmtId="167" fontId="6" fillId="0" borderId="0" xfId="0" applyNumberFormat="1" applyFont="1"/>
    <xf numFmtId="0" fontId="16" fillId="0" borderId="35" xfId="0" applyFont="1" applyBorder="1" applyAlignment="1">
      <alignment horizontal="left" vertical="center"/>
    </xf>
    <xf numFmtId="37" fontId="6" fillId="0" borderId="0" xfId="31" applyNumberFormat="1" applyFont="1" applyFill="1" applyAlignment="1">
      <alignment horizontal="center" vertical="center"/>
    </xf>
    <xf numFmtId="37" fontId="6" fillId="0" borderId="0" xfId="31" quotePrefix="1" applyNumberFormat="1" applyFont="1" applyAlignment="1">
      <alignment horizontal="center" vertical="center"/>
    </xf>
    <xf numFmtId="168" fontId="6" fillId="0" borderId="0" xfId="0" applyNumberFormat="1" applyFont="1" applyAlignment="1">
      <alignment horizontal="center" vertical="center"/>
    </xf>
    <xf numFmtId="167" fontId="6" fillId="0" borderId="0" xfId="31" quotePrefix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8" fontId="6" fillId="0" borderId="0" xfId="31" quotePrefix="1" applyNumberFormat="1" applyFont="1" applyAlignment="1">
      <alignment horizontal="center" vertical="center"/>
    </xf>
    <xf numFmtId="171" fontId="6" fillId="0" borderId="0" xfId="31" applyNumberFormat="1" applyFont="1" applyFill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3" fontId="4" fillId="32" borderId="0" xfId="0" applyNumberFormat="1" applyFont="1" applyFill="1"/>
    <xf numFmtId="3" fontId="4" fillId="32" borderId="0" xfId="0" applyNumberFormat="1" applyFont="1" applyFill="1" applyAlignment="1">
      <alignment horizontal="center" vertical="center"/>
    </xf>
    <xf numFmtId="0" fontId="4" fillId="28" borderId="0" xfId="0" applyFont="1" applyFill="1"/>
    <xf numFmtId="3" fontId="4" fillId="28" borderId="0" xfId="0" quotePrefix="1" applyNumberFormat="1" applyFont="1" applyFill="1" applyAlignment="1">
      <alignment vertical="center"/>
    </xf>
    <xf numFmtId="164" fontId="6" fillId="26" borderId="0" xfId="163" quotePrefix="1" applyNumberFormat="1" applyFill="1"/>
    <xf numFmtId="167" fontId="4" fillId="26" borderId="0" xfId="171" quotePrefix="1" applyNumberFormat="1" applyFont="1" applyFill="1"/>
    <xf numFmtId="167" fontId="4" fillId="24" borderId="0" xfId="228" applyNumberFormat="1" applyFont="1" applyFill="1"/>
    <xf numFmtId="168" fontId="6" fillId="0" borderId="0" xfId="173" quotePrefix="1" applyNumberFormat="1"/>
    <xf numFmtId="168" fontId="6" fillId="0" borderId="0" xfId="174" quotePrefix="1" applyNumberFormat="1"/>
    <xf numFmtId="164" fontId="6" fillId="26" borderId="0" xfId="0" quotePrefix="1" applyNumberFormat="1" applyFont="1" applyFill="1"/>
    <xf numFmtId="0" fontId="4" fillId="0" borderId="0" xfId="155" applyFont="1"/>
    <xf numFmtId="0" fontId="6" fillId="0" borderId="0" xfId="155"/>
    <xf numFmtId="0" fontId="8" fillId="0" borderId="0" xfId="155" applyFont="1"/>
    <xf numFmtId="0" fontId="6" fillId="24" borderId="0" xfId="155" applyFill="1"/>
    <xf numFmtId="0" fontId="6" fillId="27" borderId="0" xfId="155" applyFill="1"/>
    <xf numFmtId="0" fontId="6" fillId="23" borderId="0" xfId="155" applyFill="1"/>
    <xf numFmtId="0" fontId="4" fillId="24" borderId="0" xfId="151" applyFont="1" applyFill="1"/>
    <xf numFmtId="0" fontId="6" fillId="24" borderId="0" xfId="151" applyFill="1"/>
    <xf numFmtId="0" fontId="57" fillId="0" borderId="0" xfId="155" applyFont="1"/>
    <xf numFmtId="0" fontId="14" fillId="0" borderId="0" xfId="155" applyFont="1"/>
    <xf numFmtId="0" fontId="5" fillId="0" borderId="0" xfId="155" applyFont="1" applyAlignment="1">
      <alignment horizontal="left" vertical="center"/>
    </xf>
    <xf numFmtId="0" fontId="5" fillId="0" borderId="0" xfId="155" applyFont="1"/>
    <xf numFmtId="0" fontId="8" fillId="0" borderId="0" xfId="155" applyFont="1" applyAlignment="1">
      <alignment horizontal="left" vertical="center"/>
    </xf>
    <xf numFmtId="0" fontId="13" fillId="0" borderId="0" xfId="155" applyFont="1" applyAlignment="1">
      <alignment horizontal="left" vertical="center"/>
    </xf>
    <xf numFmtId="0" fontId="6" fillId="0" borderId="0" xfId="155" applyAlignment="1">
      <alignment horizontal="left" indent="1"/>
    </xf>
    <xf numFmtId="0" fontId="6" fillId="0" borderId="0" xfId="155" applyAlignment="1">
      <alignment horizontal="left" vertical="center"/>
    </xf>
    <xf numFmtId="0" fontId="6" fillId="27" borderId="0" xfId="155" applyFill="1" applyAlignment="1">
      <alignment horizontal="left" vertical="center"/>
    </xf>
    <xf numFmtId="0" fontId="6" fillId="32" borderId="0" xfId="155" applyFill="1" applyAlignment="1">
      <alignment horizontal="left" vertical="center"/>
    </xf>
    <xf numFmtId="0" fontId="4" fillId="0" borderId="0" xfId="155" applyFont="1" applyAlignment="1">
      <alignment horizontal="left" vertical="center"/>
    </xf>
    <xf numFmtId="0" fontId="6" fillId="0" borderId="0" xfId="155" applyAlignment="1">
      <alignment horizontal="left" vertical="center" indent="1"/>
    </xf>
    <xf numFmtId="0" fontId="21" fillId="0" borderId="0" xfId="155" applyFont="1" applyAlignment="1" applyProtection="1">
      <alignment horizontal="left" vertical="center"/>
      <protection hidden="1"/>
    </xf>
    <xf numFmtId="0" fontId="4" fillId="0" borderId="0" xfId="155" applyFont="1" applyAlignment="1">
      <alignment horizontal="left" vertical="center" indent="1"/>
    </xf>
    <xf numFmtId="0" fontId="6" fillId="33" borderId="0" xfId="155" applyFill="1" applyAlignment="1">
      <alignment horizontal="left" vertical="center"/>
    </xf>
    <xf numFmtId="0" fontId="21" fillId="27" borderId="0" xfId="156" applyFont="1" applyFill="1" applyAlignment="1" applyProtection="1">
      <alignment vertical="center"/>
      <protection hidden="1"/>
    </xf>
    <xf numFmtId="0" fontId="6" fillId="34" borderId="0" xfId="155" applyFill="1"/>
    <xf numFmtId="0" fontId="22" fillId="0" borderId="0" xfId="155" applyFont="1"/>
    <xf numFmtId="0" fontId="4" fillId="34" borderId="0" xfId="155" applyFont="1" applyFill="1"/>
    <xf numFmtId="0" fontId="4" fillId="25" borderId="0" xfId="155" applyFont="1" applyFill="1"/>
    <xf numFmtId="0" fontId="6" fillId="28" borderId="0" xfId="155" applyFill="1"/>
    <xf numFmtId="0" fontId="23" fillId="0" borderId="0" xfId="155" applyFont="1"/>
    <xf numFmtId="0" fontId="20" fillId="25" borderId="0" xfId="155" applyFont="1" applyFill="1"/>
    <xf numFmtId="0" fontId="55" fillId="23" borderId="0" xfId="159" applyFill="1"/>
    <xf numFmtId="0" fontId="55" fillId="0" borderId="0" xfId="159"/>
    <xf numFmtId="0" fontId="13" fillId="0" borderId="0" xfId="155" applyFont="1"/>
    <xf numFmtId="0" fontId="8" fillId="34" borderId="0" xfId="155" applyFont="1" applyFill="1"/>
    <xf numFmtId="0" fontId="6" fillId="32" borderId="0" xfId="155" applyFill="1"/>
    <xf numFmtId="0" fontId="6" fillId="30" borderId="0" xfId="155" applyFill="1"/>
    <xf numFmtId="0" fontId="6" fillId="35" borderId="0" xfId="155" applyFill="1"/>
    <xf numFmtId="0" fontId="23" fillId="34" borderId="0" xfId="155" applyFont="1" applyFill="1"/>
    <xf numFmtId="0" fontId="16" fillId="34" borderId="0" xfId="155" applyFont="1" applyFill="1"/>
    <xf numFmtId="0" fontId="23" fillId="32" borderId="0" xfId="155" applyFont="1" applyFill="1"/>
    <xf numFmtId="0" fontId="21" fillId="34" borderId="0" xfId="156" applyFont="1" applyFill="1" applyAlignment="1" applyProtection="1">
      <alignment vertical="center"/>
      <protection hidden="1"/>
    </xf>
    <xf numFmtId="0" fontId="23" fillId="26" borderId="0" xfId="155" applyFont="1" applyFill="1"/>
    <xf numFmtId="0" fontId="6" fillId="26" borderId="0" xfId="155" applyFill="1"/>
    <xf numFmtId="164" fontId="0" fillId="0" borderId="0" xfId="0" applyNumberFormat="1"/>
    <xf numFmtId="167" fontId="4" fillId="26" borderId="0" xfId="228" applyNumberFormat="1" applyFont="1" applyFill="1"/>
    <xf numFmtId="167" fontId="4" fillId="0" borderId="0" xfId="228" applyNumberFormat="1" applyFont="1" applyFill="1"/>
    <xf numFmtId="0" fontId="4" fillId="28" borderId="0" xfId="162" applyFont="1" applyFill="1"/>
    <xf numFmtId="0" fontId="58" fillId="28" borderId="0" xfId="158" applyFont="1" applyFill="1"/>
    <xf numFmtId="165" fontId="4" fillId="0" borderId="0" xfId="167" quotePrefix="1" applyNumberFormat="1" applyFont="1"/>
    <xf numFmtId="164" fontId="4" fillId="26" borderId="0" xfId="0" applyNumberFormat="1" applyFont="1" applyFill="1"/>
    <xf numFmtId="0" fontId="6" fillId="34" borderId="0" xfId="155" applyFill="1" applyAlignment="1">
      <alignment horizontal="left" vertical="center"/>
    </xf>
    <xf numFmtId="0" fontId="0" fillId="36" borderId="0" xfId="0" applyFill="1"/>
    <xf numFmtId="0" fontId="0" fillId="36" borderId="0" xfId="0" applyFill="1" applyAlignment="1">
      <alignment vertical="center"/>
    </xf>
    <xf numFmtId="0" fontId="59" fillId="36" borderId="0" xfId="0" applyFont="1" applyFill="1" applyAlignment="1">
      <alignment horizontal="center" vertical="center"/>
    </xf>
    <xf numFmtId="0" fontId="4" fillId="36" borderId="0" xfId="0" applyFont="1" applyFill="1"/>
    <xf numFmtId="0" fontId="60" fillId="36" borderId="0" xfId="0" applyFont="1" applyFill="1" applyAlignment="1">
      <alignment horizontal="left" vertical="center"/>
    </xf>
    <xf numFmtId="170" fontId="6" fillId="0" borderId="0" xfId="0" applyNumberFormat="1" applyFont="1"/>
    <xf numFmtId="0" fontId="4" fillId="0" borderId="0" xfId="176" applyFont="1"/>
    <xf numFmtId="0" fontId="4" fillId="0" borderId="0" xfId="176" applyFont="1" applyAlignment="1">
      <alignment horizontal="center"/>
    </xf>
    <xf numFmtId="169" fontId="4" fillId="0" borderId="0" xfId="176" applyNumberFormat="1" applyFont="1"/>
    <xf numFmtId="170" fontId="4" fillId="0" borderId="0" xfId="176" applyNumberFormat="1" applyFont="1"/>
    <xf numFmtId="0" fontId="9" fillId="0" borderId="0" xfId="64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indent="2"/>
    </xf>
    <xf numFmtId="0" fontId="63" fillId="36" borderId="38" xfId="0" applyFont="1" applyFill="1" applyBorder="1" applyAlignment="1">
      <alignment horizontal="center" vertical="center"/>
    </xf>
    <xf numFmtId="0" fontId="63" fillId="36" borderId="14" xfId="0" applyFont="1" applyFill="1" applyBorder="1" applyAlignment="1">
      <alignment horizontal="center" vertical="center"/>
    </xf>
    <xf numFmtId="166" fontId="4" fillId="36" borderId="40" xfId="0" applyNumberFormat="1" applyFont="1" applyFill="1" applyBorder="1" applyAlignment="1">
      <alignment horizontal="center" vertical="center"/>
    </xf>
    <xf numFmtId="0" fontId="0" fillId="36" borderId="41" xfId="0" applyFill="1" applyBorder="1"/>
    <xf numFmtId="0" fontId="3" fillId="0" borderId="0" xfId="0" applyFont="1" applyAlignment="1">
      <alignment horizontal="center"/>
    </xf>
    <xf numFmtId="0" fontId="59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64" fillId="0" borderId="0" xfId="0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64" fillId="0" borderId="0" xfId="0" applyNumberFormat="1" applyFont="1" applyAlignment="1">
      <alignment vertical="center"/>
    </xf>
    <xf numFmtId="0" fontId="64" fillId="0" borderId="44" xfId="251" applyFont="1" applyBorder="1" applyAlignment="1">
      <alignment horizontal="center" vertical="center"/>
    </xf>
    <xf numFmtId="166" fontId="4" fillId="36" borderId="46" xfId="0" applyNumberFormat="1" applyFont="1" applyFill="1" applyBorder="1" applyAlignment="1">
      <alignment horizontal="center" vertical="center"/>
    </xf>
    <xf numFmtId="3" fontId="0" fillId="0" borderId="0" xfId="0" applyNumberFormat="1"/>
    <xf numFmtId="1" fontId="6" fillId="0" borderId="0" xfId="0" applyNumberFormat="1" applyFont="1"/>
    <xf numFmtId="169" fontId="0" fillId="0" borderId="0" xfId="0" applyNumberFormat="1"/>
    <xf numFmtId="170" fontId="0" fillId="0" borderId="0" xfId="0" applyNumberFormat="1"/>
    <xf numFmtId="164" fontId="6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/>
    <xf numFmtId="0" fontId="6" fillId="23" borderId="36" xfId="0" applyFont="1" applyFill="1" applyBorder="1" applyProtection="1">
      <protection locked="0"/>
    </xf>
    <xf numFmtId="0" fontId="0" fillId="23" borderId="5" xfId="0" applyFill="1" applyBorder="1" applyProtection="1">
      <protection locked="0"/>
    </xf>
    <xf numFmtId="0" fontId="0" fillId="23" borderId="37" xfId="0" applyFill="1" applyBorder="1" applyProtection="1">
      <protection locked="0"/>
    </xf>
    <xf numFmtId="1" fontId="6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0" fontId="0" fillId="23" borderId="36" xfId="0" applyNumberFormat="1" applyFill="1" applyBorder="1" applyProtection="1">
      <protection locked="0"/>
    </xf>
    <xf numFmtId="170" fontId="0" fillId="23" borderId="5" xfId="0" applyNumberFormat="1" applyFill="1" applyBorder="1" applyProtection="1">
      <protection locked="0"/>
    </xf>
    <xf numFmtId="170" fontId="0" fillId="23" borderId="37" xfId="0" applyNumberFormat="1" applyFill="1" applyBorder="1" applyProtection="1">
      <protection locked="0"/>
    </xf>
    <xf numFmtId="0" fontId="9" fillId="0" borderId="0" xfId="64" applyBorder="1" applyAlignment="1" applyProtection="1">
      <alignment horizontal="left" vertical="center"/>
      <protection locked="0"/>
    </xf>
    <xf numFmtId="0" fontId="0" fillId="23" borderId="36" xfId="0" applyFill="1" applyBorder="1" applyProtection="1">
      <protection locked="0"/>
    </xf>
    <xf numFmtId="169" fontId="0" fillId="23" borderId="36" xfId="0" applyNumberFormat="1" applyFill="1" applyBorder="1" applyProtection="1">
      <protection locked="0"/>
    </xf>
    <xf numFmtId="169" fontId="0" fillId="23" borderId="5" xfId="0" applyNumberFormat="1" applyFill="1" applyBorder="1" applyProtection="1">
      <protection locked="0"/>
    </xf>
    <xf numFmtId="169" fontId="0" fillId="23" borderId="37" xfId="0" applyNumberFormat="1" applyFill="1" applyBorder="1" applyProtection="1">
      <protection locked="0"/>
    </xf>
    <xf numFmtId="0" fontId="62" fillId="36" borderId="47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66" fontId="62" fillId="36" borderId="3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1" fillId="0" borderId="0" xfId="64" applyFont="1" applyAlignment="1" applyProtection="1">
      <alignment horizontal="left" vertical="center"/>
      <protection locked="0"/>
    </xf>
  </cellXfs>
  <cellStyles count="54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ctual Date" xfId="25" xr:uid="{00000000-0005-0000-0000-000018000000}"/>
    <cellStyle name="Actual Date 2" xfId="26" xr:uid="{00000000-0005-0000-0000-000019000000}"/>
    <cellStyle name="Actual Date 2 2" xfId="253" xr:uid="{00000000-0005-0000-0000-00001A000000}"/>
    <cellStyle name="Actual Date 3" xfId="435" xr:uid="{00000000-0005-0000-0000-00001B000000}"/>
    <cellStyle name="Actual Date 4" xfId="252" xr:uid="{00000000-0005-0000-0000-00001C000000}"/>
    <cellStyle name="Bad 2" xfId="27" xr:uid="{00000000-0005-0000-0000-00001D000000}"/>
    <cellStyle name="balances" xfId="28" xr:uid="{00000000-0005-0000-0000-00001E000000}"/>
    <cellStyle name="Calculation 2" xfId="29" xr:uid="{00000000-0005-0000-0000-00001F000000}"/>
    <cellStyle name="Check Cell 2" xfId="30" xr:uid="{00000000-0005-0000-0000-000020000000}"/>
    <cellStyle name="Comma 2" xfId="31" xr:uid="{00000000-0005-0000-0000-000021000000}"/>
    <cellStyle name="Comma 2 2" xfId="32" xr:uid="{00000000-0005-0000-0000-000022000000}"/>
    <cellStyle name="Comma 2 2 2" xfId="255" xr:uid="{00000000-0005-0000-0000-000023000000}"/>
    <cellStyle name="Comma 2 3" xfId="437" xr:uid="{00000000-0005-0000-0000-000024000000}"/>
    <cellStyle name="Comma 2 4" xfId="254" xr:uid="{00000000-0005-0000-0000-000025000000}"/>
    <cellStyle name="Comma 3" xfId="33" xr:uid="{00000000-0005-0000-0000-000026000000}"/>
    <cellStyle name="Comma 3 2" xfId="34" xr:uid="{00000000-0005-0000-0000-000027000000}"/>
    <cellStyle name="Comma 3 2 2" xfId="35" xr:uid="{00000000-0005-0000-0000-000028000000}"/>
    <cellStyle name="Comma 3 2 2 2" xfId="258" xr:uid="{00000000-0005-0000-0000-000029000000}"/>
    <cellStyle name="Comma 3 2 3" xfId="439" xr:uid="{00000000-0005-0000-0000-00002A000000}"/>
    <cellStyle name="Comma 3 2 4" xfId="257" xr:uid="{00000000-0005-0000-0000-00002B000000}"/>
    <cellStyle name="Comma 3 3" xfId="36" xr:uid="{00000000-0005-0000-0000-00002C000000}"/>
    <cellStyle name="Comma 3 3 2" xfId="440" xr:uid="{00000000-0005-0000-0000-00002D000000}"/>
    <cellStyle name="Comma 3 3 3" xfId="259" xr:uid="{00000000-0005-0000-0000-00002E000000}"/>
    <cellStyle name="Comma 3 4" xfId="438" xr:uid="{00000000-0005-0000-0000-00002F000000}"/>
    <cellStyle name="Comma 3 5" xfId="256" xr:uid="{00000000-0005-0000-0000-000030000000}"/>
    <cellStyle name="Comma 4" xfId="37" xr:uid="{00000000-0005-0000-0000-000031000000}"/>
    <cellStyle name="Comma 4 2" xfId="441" xr:uid="{00000000-0005-0000-0000-000032000000}"/>
    <cellStyle name="Comma 4 3" xfId="260" xr:uid="{00000000-0005-0000-0000-000033000000}"/>
    <cellStyle name="Comma 5" xfId="38" xr:uid="{00000000-0005-0000-0000-000034000000}"/>
    <cellStyle name="Comma 5 2" xfId="261" xr:uid="{00000000-0005-0000-0000-000035000000}"/>
    <cellStyle name="Comma 6" xfId="436" xr:uid="{00000000-0005-0000-0000-000036000000}"/>
    <cellStyle name="Currency 2" xfId="39" xr:uid="{00000000-0005-0000-0000-000037000000}"/>
    <cellStyle name="Currency 2 2" xfId="40" xr:uid="{00000000-0005-0000-0000-000038000000}"/>
    <cellStyle name="Currency 2 2 2" xfId="263" xr:uid="{00000000-0005-0000-0000-000039000000}"/>
    <cellStyle name="Currency 2 3" xfId="442" xr:uid="{00000000-0005-0000-0000-00003A000000}"/>
    <cellStyle name="Currency 2 4" xfId="262" xr:uid="{00000000-0005-0000-0000-00003B000000}"/>
    <cellStyle name="Currency 3" xfId="41" xr:uid="{00000000-0005-0000-0000-00003C000000}"/>
    <cellStyle name="Currency 3 2" xfId="42" xr:uid="{00000000-0005-0000-0000-00003D000000}"/>
    <cellStyle name="Currency 3 2 2" xfId="265" xr:uid="{00000000-0005-0000-0000-00003E000000}"/>
    <cellStyle name="Currency 3 3" xfId="443" xr:uid="{00000000-0005-0000-0000-00003F000000}"/>
    <cellStyle name="Currency 3 4" xfId="264" xr:uid="{00000000-0005-0000-0000-000040000000}"/>
    <cellStyle name="Currency 4" xfId="43" xr:uid="{00000000-0005-0000-0000-000041000000}"/>
    <cellStyle name="Currency 4 2" xfId="44" xr:uid="{00000000-0005-0000-0000-000042000000}"/>
    <cellStyle name="Currency 4 2 2" xfId="267" xr:uid="{00000000-0005-0000-0000-000043000000}"/>
    <cellStyle name="Currency 4 3" xfId="444" xr:uid="{00000000-0005-0000-0000-000044000000}"/>
    <cellStyle name="Currency 4 4" xfId="266" xr:uid="{00000000-0005-0000-0000-000045000000}"/>
    <cellStyle name="Date" xfId="45" xr:uid="{00000000-0005-0000-0000-000046000000}"/>
    <cellStyle name="Excel.Chart" xfId="46" xr:uid="{00000000-0005-0000-0000-000047000000}"/>
    <cellStyle name="Explanatory Text 2" xfId="47" xr:uid="{00000000-0005-0000-0000-000048000000}"/>
    <cellStyle name="Fixed" xfId="48" xr:uid="{00000000-0005-0000-0000-000049000000}"/>
    <cellStyle name="Fixed 2" xfId="49" xr:uid="{00000000-0005-0000-0000-00004A000000}"/>
    <cellStyle name="Fixed 2 2" xfId="269" xr:uid="{00000000-0005-0000-0000-00004B000000}"/>
    <cellStyle name="Fixed 3" xfId="445" xr:uid="{00000000-0005-0000-0000-00004C000000}"/>
    <cellStyle name="Fixed 4" xfId="268" xr:uid="{00000000-0005-0000-0000-00004D000000}"/>
    <cellStyle name="Good 2" xfId="50" xr:uid="{00000000-0005-0000-0000-00004E000000}"/>
    <cellStyle name="Grey" xfId="51" xr:uid="{00000000-0005-0000-0000-00004F000000}"/>
    <cellStyle name="HEADER" xfId="52" xr:uid="{00000000-0005-0000-0000-000050000000}"/>
    <cellStyle name="Header1" xfId="53" xr:uid="{00000000-0005-0000-0000-000051000000}"/>
    <cellStyle name="Header2" xfId="54" xr:uid="{00000000-0005-0000-0000-000052000000}"/>
    <cellStyle name="Heading 1 2" xfId="55" xr:uid="{00000000-0005-0000-0000-000053000000}"/>
    <cellStyle name="Heading 2 2" xfId="56" xr:uid="{00000000-0005-0000-0000-000054000000}"/>
    <cellStyle name="Heading 3 2" xfId="57" xr:uid="{00000000-0005-0000-0000-000055000000}"/>
    <cellStyle name="Heading 4 2" xfId="58" xr:uid="{00000000-0005-0000-0000-000056000000}"/>
    <cellStyle name="Heading1" xfId="59" xr:uid="{00000000-0005-0000-0000-000057000000}"/>
    <cellStyle name="Heading1 2" xfId="60" xr:uid="{00000000-0005-0000-0000-000058000000}"/>
    <cellStyle name="Heading1 2 2" xfId="271" xr:uid="{00000000-0005-0000-0000-000059000000}"/>
    <cellStyle name="Heading1 3" xfId="446" xr:uid="{00000000-0005-0000-0000-00005A000000}"/>
    <cellStyle name="Heading1 4" xfId="270" xr:uid="{00000000-0005-0000-0000-00005B000000}"/>
    <cellStyle name="Heading2" xfId="61" xr:uid="{00000000-0005-0000-0000-00005C000000}"/>
    <cellStyle name="Heading2 2" xfId="62" xr:uid="{00000000-0005-0000-0000-00005D000000}"/>
    <cellStyle name="Heading2 2 2" xfId="273" xr:uid="{00000000-0005-0000-0000-00005E000000}"/>
    <cellStyle name="Heading2 3" xfId="447" xr:uid="{00000000-0005-0000-0000-00005F000000}"/>
    <cellStyle name="Heading2 4" xfId="272" xr:uid="{00000000-0005-0000-0000-000060000000}"/>
    <cellStyle name="HIGHLIGHT" xfId="63" xr:uid="{00000000-0005-0000-0000-000061000000}"/>
    <cellStyle name="Hyperlink" xfId="64" builtinId="8"/>
    <cellStyle name="Hyperlink 2" xfId="65" xr:uid="{00000000-0005-0000-0000-000063000000}"/>
    <cellStyle name="Hyperlink 2 2" xfId="66" xr:uid="{00000000-0005-0000-0000-000064000000}"/>
    <cellStyle name="Hyperlink 2 3" xfId="67" xr:uid="{00000000-0005-0000-0000-000065000000}"/>
    <cellStyle name="Hyperlink 2 4" xfId="68" xr:uid="{00000000-0005-0000-0000-000066000000}"/>
    <cellStyle name="Hyperlink 2 5" xfId="69" xr:uid="{00000000-0005-0000-0000-000067000000}"/>
    <cellStyle name="Hyperlink 3" xfId="70" xr:uid="{00000000-0005-0000-0000-000068000000}"/>
    <cellStyle name="Hyperlink 4" xfId="71" xr:uid="{00000000-0005-0000-0000-000069000000}"/>
    <cellStyle name="Hyperlink 4 2" xfId="72" xr:uid="{00000000-0005-0000-0000-00006A000000}"/>
    <cellStyle name="Hyperlink 4 3" xfId="73" xr:uid="{00000000-0005-0000-0000-00006B000000}"/>
    <cellStyle name="Hyperlink 5" xfId="74" xr:uid="{00000000-0005-0000-0000-00006C000000}"/>
    <cellStyle name="Input [yellow]" xfId="75" xr:uid="{00000000-0005-0000-0000-00006D000000}"/>
    <cellStyle name="Input [yellow] 2" xfId="76" xr:uid="{00000000-0005-0000-0000-00006E000000}"/>
    <cellStyle name="Input [yellow] 3" xfId="77" xr:uid="{00000000-0005-0000-0000-00006F000000}"/>
    <cellStyle name="Input 2" xfId="78" xr:uid="{00000000-0005-0000-0000-000070000000}"/>
    <cellStyle name="Linked Cell 2" xfId="79" xr:uid="{00000000-0005-0000-0000-000071000000}"/>
    <cellStyle name="Neutral 2" xfId="80" xr:uid="{00000000-0005-0000-0000-000072000000}"/>
    <cellStyle name="no dec" xfId="81" xr:uid="{00000000-0005-0000-0000-000073000000}"/>
    <cellStyle name="Normal" xfId="0" builtinId="0"/>
    <cellStyle name="Normal - Style1" xfId="82" xr:uid="{00000000-0005-0000-0000-000075000000}"/>
    <cellStyle name="Normal - Style1 2" xfId="83" xr:uid="{00000000-0005-0000-0000-000076000000}"/>
    <cellStyle name="Normal - Style1 2 2" xfId="275" xr:uid="{00000000-0005-0000-0000-000077000000}"/>
    <cellStyle name="Normal - Style1 3" xfId="448" xr:uid="{00000000-0005-0000-0000-000078000000}"/>
    <cellStyle name="Normal - Style1 4" xfId="274" xr:uid="{00000000-0005-0000-0000-000079000000}"/>
    <cellStyle name="Normal 10" xfId="84" xr:uid="{00000000-0005-0000-0000-00007A000000}"/>
    <cellStyle name="Normal 10 2" xfId="85" xr:uid="{00000000-0005-0000-0000-00007B000000}"/>
    <cellStyle name="Normal 10 2 2" xfId="86" xr:uid="{00000000-0005-0000-0000-00007C000000}"/>
    <cellStyle name="Normal 10 2 2 2" xfId="278" xr:uid="{00000000-0005-0000-0000-00007D000000}"/>
    <cellStyle name="Normal 10 2 3" xfId="450" xr:uid="{00000000-0005-0000-0000-00007E000000}"/>
    <cellStyle name="Normal 10 2 4" xfId="277" xr:uid="{00000000-0005-0000-0000-00007F000000}"/>
    <cellStyle name="Normal 10 3" xfId="87" xr:uid="{00000000-0005-0000-0000-000080000000}"/>
    <cellStyle name="Normal 10 3 2" xfId="279" xr:uid="{00000000-0005-0000-0000-000081000000}"/>
    <cellStyle name="Normal 10 4" xfId="449" xr:uid="{00000000-0005-0000-0000-000082000000}"/>
    <cellStyle name="Normal 10 5" xfId="520" xr:uid="{00000000-0005-0000-0000-000083000000}"/>
    <cellStyle name="Normal 10 6" xfId="276" xr:uid="{00000000-0005-0000-0000-000084000000}"/>
    <cellStyle name="Normal 11" xfId="88" xr:uid="{00000000-0005-0000-0000-000085000000}"/>
    <cellStyle name="Normal 11 2" xfId="89" xr:uid="{00000000-0005-0000-0000-000086000000}"/>
    <cellStyle name="Normal 11 2 2" xfId="90" xr:uid="{00000000-0005-0000-0000-000087000000}"/>
    <cellStyle name="Normal 11 2 2 2" xfId="282" xr:uid="{00000000-0005-0000-0000-000088000000}"/>
    <cellStyle name="Normal 11 2 3" xfId="452" xr:uid="{00000000-0005-0000-0000-000089000000}"/>
    <cellStyle name="Normal 11 2 4" xfId="281" xr:uid="{00000000-0005-0000-0000-00008A000000}"/>
    <cellStyle name="Normal 11 3" xfId="91" xr:uid="{00000000-0005-0000-0000-00008B000000}"/>
    <cellStyle name="Normal 11 3 2" xfId="283" xr:uid="{00000000-0005-0000-0000-00008C000000}"/>
    <cellStyle name="Normal 11 4" xfId="451" xr:uid="{00000000-0005-0000-0000-00008D000000}"/>
    <cellStyle name="Normal 11 5" xfId="521" xr:uid="{00000000-0005-0000-0000-00008E000000}"/>
    <cellStyle name="Normal 11 6" xfId="280" xr:uid="{00000000-0005-0000-0000-00008F000000}"/>
    <cellStyle name="Normal 12" xfId="92" xr:uid="{00000000-0005-0000-0000-000090000000}"/>
    <cellStyle name="Normal 12 2" xfId="93" xr:uid="{00000000-0005-0000-0000-000091000000}"/>
    <cellStyle name="Normal 12 2 2" xfId="94" xr:uid="{00000000-0005-0000-0000-000092000000}"/>
    <cellStyle name="Normal 12 2 2 2" xfId="286" xr:uid="{00000000-0005-0000-0000-000093000000}"/>
    <cellStyle name="Normal 12 2 3" xfId="454" xr:uid="{00000000-0005-0000-0000-000094000000}"/>
    <cellStyle name="Normal 12 2 4" xfId="285" xr:uid="{00000000-0005-0000-0000-000095000000}"/>
    <cellStyle name="Normal 12 3" xfId="95" xr:uid="{00000000-0005-0000-0000-000096000000}"/>
    <cellStyle name="Normal 12 3 2" xfId="287" xr:uid="{00000000-0005-0000-0000-000097000000}"/>
    <cellStyle name="Normal 12 4" xfId="453" xr:uid="{00000000-0005-0000-0000-000098000000}"/>
    <cellStyle name="Normal 12 5" xfId="522" xr:uid="{00000000-0005-0000-0000-000099000000}"/>
    <cellStyle name="Normal 12 6" xfId="284" xr:uid="{00000000-0005-0000-0000-00009A000000}"/>
    <cellStyle name="Normal 13" xfId="96" xr:uid="{00000000-0005-0000-0000-00009B000000}"/>
    <cellStyle name="Normal 13 2" xfId="97" xr:uid="{00000000-0005-0000-0000-00009C000000}"/>
    <cellStyle name="Normal 13 2 2" xfId="98" xr:uid="{00000000-0005-0000-0000-00009D000000}"/>
    <cellStyle name="Normal 13 2 2 2" xfId="290" xr:uid="{00000000-0005-0000-0000-00009E000000}"/>
    <cellStyle name="Normal 13 2 3" xfId="456" xr:uid="{00000000-0005-0000-0000-00009F000000}"/>
    <cellStyle name="Normal 13 2 4" xfId="289" xr:uid="{00000000-0005-0000-0000-0000A0000000}"/>
    <cellStyle name="Normal 13 3" xfId="99" xr:uid="{00000000-0005-0000-0000-0000A1000000}"/>
    <cellStyle name="Normal 13 3 2" xfId="291" xr:uid="{00000000-0005-0000-0000-0000A2000000}"/>
    <cellStyle name="Normal 13 4" xfId="455" xr:uid="{00000000-0005-0000-0000-0000A3000000}"/>
    <cellStyle name="Normal 13 5" xfId="523" xr:uid="{00000000-0005-0000-0000-0000A4000000}"/>
    <cellStyle name="Normal 13 6" xfId="288" xr:uid="{00000000-0005-0000-0000-0000A5000000}"/>
    <cellStyle name="Normal 14" xfId="100" xr:uid="{00000000-0005-0000-0000-0000A6000000}"/>
    <cellStyle name="Normal 14 2" xfId="101" xr:uid="{00000000-0005-0000-0000-0000A7000000}"/>
    <cellStyle name="Normal 14 2 2" xfId="102" xr:uid="{00000000-0005-0000-0000-0000A8000000}"/>
    <cellStyle name="Normal 14 2 2 2" xfId="294" xr:uid="{00000000-0005-0000-0000-0000A9000000}"/>
    <cellStyle name="Normal 14 2 3" xfId="458" xr:uid="{00000000-0005-0000-0000-0000AA000000}"/>
    <cellStyle name="Normal 14 2 4" xfId="293" xr:uid="{00000000-0005-0000-0000-0000AB000000}"/>
    <cellStyle name="Normal 14 3" xfId="103" xr:uid="{00000000-0005-0000-0000-0000AC000000}"/>
    <cellStyle name="Normal 14 3 2" xfId="295" xr:uid="{00000000-0005-0000-0000-0000AD000000}"/>
    <cellStyle name="Normal 14 4" xfId="457" xr:uid="{00000000-0005-0000-0000-0000AE000000}"/>
    <cellStyle name="Normal 14 5" xfId="524" xr:uid="{00000000-0005-0000-0000-0000AF000000}"/>
    <cellStyle name="Normal 14 6" xfId="292" xr:uid="{00000000-0005-0000-0000-0000B0000000}"/>
    <cellStyle name="Normal 15" xfId="104" xr:uid="{00000000-0005-0000-0000-0000B1000000}"/>
    <cellStyle name="Normal 15 2" xfId="105" xr:uid="{00000000-0005-0000-0000-0000B2000000}"/>
    <cellStyle name="Normal 15 2 2" xfId="106" xr:uid="{00000000-0005-0000-0000-0000B3000000}"/>
    <cellStyle name="Normal 15 2 2 2" xfId="298" xr:uid="{00000000-0005-0000-0000-0000B4000000}"/>
    <cellStyle name="Normal 15 2 3" xfId="460" xr:uid="{00000000-0005-0000-0000-0000B5000000}"/>
    <cellStyle name="Normal 15 2 4" xfId="297" xr:uid="{00000000-0005-0000-0000-0000B6000000}"/>
    <cellStyle name="Normal 15 3" xfId="107" xr:uid="{00000000-0005-0000-0000-0000B7000000}"/>
    <cellStyle name="Normal 15 3 2" xfId="299" xr:uid="{00000000-0005-0000-0000-0000B8000000}"/>
    <cellStyle name="Normal 15 4" xfId="459" xr:uid="{00000000-0005-0000-0000-0000B9000000}"/>
    <cellStyle name="Normal 15 5" xfId="525" xr:uid="{00000000-0005-0000-0000-0000BA000000}"/>
    <cellStyle name="Normal 15 6" xfId="296" xr:uid="{00000000-0005-0000-0000-0000BB000000}"/>
    <cellStyle name="Normal 16" xfId="108" xr:uid="{00000000-0005-0000-0000-0000BC000000}"/>
    <cellStyle name="Normal 16 2" xfId="109" xr:uid="{00000000-0005-0000-0000-0000BD000000}"/>
    <cellStyle name="Normal 16 2 2" xfId="110" xr:uid="{00000000-0005-0000-0000-0000BE000000}"/>
    <cellStyle name="Normal 16 2 2 2" xfId="302" xr:uid="{00000000-0005-0000-0000-0000BF000000}"/>
    <cellStyle name="Normal 16 2 3" xfId="462" xr:uid="{00000000-0005-0000-0000-0000C0000000}"/>
    <cellStyle name="Normal 16 2 4" xfId="301" xr:uid="{00000000-0005-0000-0000-0000C1000000}"/>
    <cellStyle name="Normal 16 3" xfId="111" xr:uid="{00000000-0005-0000-0000-0000C2000000}"/>
    <cellStyle name="Normal 16 3 2" xfId="303" xr:uid="{00000000-0005-0000-0000-0000C3000000}"/>
    <cellStyle name="Normal 16 4" xfId="461" xr:uid="{00000000-0005-0000-0000-0000C4000000}"/>
    <cellStyle name="Normal 16 5" xfId="526" xr:uid="{00000000-0005-0000-0000-0000C5000000}"/>
    <cellStyle name="Normal 16 6" xfId="300" xr:uid="{00000000-0005-0000-0000-0000C6000000}"/>
    <cellStyle name="Normal 17" xfId="112" xr:uid="{00000000-0005-0000-0000-0000C7000000}"/>
    <cellStyle name="Normal 17 2" xfId="113" xr:uid="{00000000-0005-0000-0000-0000C8000000}"/>
    <cellStyle name="Normal 17 2 2" xfId="305" xr:uid="{00000000-0005-0000-0000-0000C9000000}"/>
    <cellStyle name="Normal 17 3" xfId="463" xr:uid="{00000000-0005-0000-0000-0000CA000000}"/>
    <cellStyle name="Normal 17 4" xfId="527" xr:uid="{00000000-0005-0000-0000-0000CB000000}"/>
    <cellStyle name="Normal 17 5" xfId="304" xr:uid="{00000000-0005-0000-0000-0000CC000000}"/>
    <cellStyle name="Normal 18" xfId="114" xr:uid="{00000000-0005-0000-0000-0000CD000000}"/>
    <cellStyle name="Normal 18 2" xfId="115" xr:uid="{00000000-0005-0000-0000-0000CE000000}"/>
    <cellStyle name="Normal 18 2 2" xfId="307" xr:uid="{00000000-0005-0000-0000-0000CF000000}"/>
    <cellStyle name="Normal 18 3" xfId="464" xr:uid="{00000000-0005-0000-0000-0000D0000000}"/>
    <cellStyle name="Normal 18 4" xfId="528" xr:uid="{00000000-0005-0000-0000-0000D1000000}"/>
    <cellStyle name="Normal 18 5" xfId="306" xr:uid="{00000000-0005-0000-0000-0000D2000000}"/>
    <cellStyle name="Normal 19" xfId="116" xr:uid="{00000000-0005-0000-0000-0000D3000000}"/>
    <cellStyle name="Normal 19 2" xfId="117" xr:uid="{00000000-0005-0000-0000-0000D4000000}"/>
    <cellStyle name="Normal 19 2 2" xfId="309" xr:uid="{00000000-0005-0000-0000-0000D5000000}"/>
    <cellStyle name="Normal 19 3" xfId="465" xr:uid="{00000000-0005-0000-0000-0000D6000000}"/>
    <cellStyle name="Normal 19 4" xfId="308" xr:uid="{00000000-0005-0000-0000-0000D7000000}"/>
    <cellStyle name="Normal 2" xfId="118" xr:uid="{00000000-0005-0000-0000-0000D8000000}"/>
    <cellStyle name="Normal 2 2" xfId="119" xr:uid="{00000000-0005-0000-0000-0000D9000000}"/>
    <cellStyle name="Normal 2 2 2" xfId="120" xr:uid="{00000000-0005-0000-0000-0000DA000000}"/>
    <cellStyle name="Normal 2 2 2 2" xfId="467" xr:uid="{00000000-0005-0000-0000-0000DB000000}"/>
    <cellStyle name="Normal 2 2 2 3" xfId="311" xr:uid="{00000000-0005-0000-0000-0000DC000000}"/>
    <cellStyle name="Normal 2 3" xfId="121" xr:uid="{00000000-0005-0000-0000-0000DD000000}"/>
    <cellStyle name="Normal 2 4" xfId="122" xr:uid="{00000000-0005-0000-0000-0000DE000000}"/>
    <cellStyle name="Normal 2 4 2" xfId="312" xr:uid="{00000000-0005-0000-0000-0000DF000000}"/>
    <cellStyle name="Normal 2 5" xfId="466" xr:uid="{00000000-0005-0000-0000-0000E0000000}"/>
    <cellStyle name="Normal 2 6" xfId="310" xr:uid="{00000000-0005-0000-0000-0000E1000000}"/>
    <cellStyle name="Normal 2_Data" xfId="123" xr:uid="{00000000-0005-0000-0000-0000E2000000}"/>
    <cellStyle name="Normal 20" xfId="124" xr:uid="{00000000-0005-0000-0000-0000E3000000}"/>
    <cellStyle name="Normal 20 2" xfId="125" xr:uid="{00000000-0005-0000-0000-0000E4000000}"/>
    <cellStyle name="Normal 20 2 2" xfId="314" xr:uid="{00000000-0005-0000-0000-0000E5000000}"/>
    <cellStyle name="Normal 20 3" xfId="468" xr:uid="{00000000-0005-0000-0000-0000E6000000}"/>
    <cellStyle name="Normal 20 4" xfId="313" xr:uid="{00000000-0005-0000-0000-0000E7000000}"/>
    <cellStyle name="Normal 21" xfId="126" xr:uid="{00000000-0005-0000-0000-0000E8000000}"/>
    <cellStyle name="Normal 21 2" xfId="127" xr:uid="{00000000-0005-0000-0000-0000E9000000}"/>
    <cellStyle name="Normal 21 2 2" xfId="316" xr:uid="{00000000-0005-0000-0000-0000EA000000}"/>
    <cellStyle name="Normal 21 3" xfId="469" xr:uid="{00000000-0005-0000-0000-0000EB000000}"/>
    <cellStyle name="Normal 21 4" xfId="315" xr:uid="{00000000-0005-0000-0000-0000EC000000}"/>
    <cellStyle name="Normal 22" xfId="128" xr:uid="{00000000-0005-0000-0000-0000ED000000}"/>
    <cellStyle name="Normal 22 2" xfId="129" xr:uid="{00000000-0005-0000-0000-0000EE000000}"/>
    <cellStyle name="Normal 22 2 2" xfId="318" xr:uid="{00000000-0005-0000-0000-0000EF000000}"/>
    <cellStyle name="Normal 22 3" xfId="470" xr:uid="{00000000-0005-0000-0000-0000F0000000}"/>
    <cellStyle name="Normal 22 4" xfId="317" xr:uid="{00000000-0005-0000-0000-0000F1000000}"/>
    <cellStyle name="Normal 23" xfId="130" xr:uid="{00000000-0005-0000-0000-0000F2000000}"/>
    <cellStyle name="Normal 23 2" xfId="131" xr:uid="{00000000-0005-0000-0000-0000F3000000}"/>
    <cellStyle name="Normal 23 2 2" xfId="320" xr:uid="{00000000-0005-0000-0000-0000F4000000}"/>
    <cellStyle name="Normal 23 3" xfId="471" xr:uid="{00000000-0005-0000-0000-0000F5000000}"/>
    <cellStyle name="Normal 23 4" xfId="319" xr:uid="{00000000-0005-0000-0000-0000F6000000}"/>
    <cellStyle name="Normal 24" xfId="132" xr:uid="{00000000-0005-0000-0000-0000F7000000}"/>
    <cellStyle name="Normal 24 2" xfId="133" xr:uid="{00000000-0005-0000-0000-0000F8000000}"/>
    <cellStyle name="Normal 24 2 2" xfId="322" xr:uid="{00000000-0005-0000-0000-0000F9000000}"/>
    <cellStyle name="Normal 24 3" xfId="472" xr:uid="{00000000-0005-0000-0000-0000FA000000}"/>
    <cellStyle name="Normal 24 4" xfId="529" xr:uid="{00000000-0005-0000-0000-0000FB000000}"/>
    <cellStyle name="Normal 24 5" xfId="321" xr:uid="{00000000-0005-0000-0000-0000FC000000}"/>
    <cellStyle name="Normal 25" xfId="134" xr:uid="{00000000-0005-0000-0000-0000FD000000}"/>
    <cellStyle name="Normal 25 2" xfId="135" xr:uid="{00000000-0005-0000-0000-0000FE000000}"/>
    <cellStyle name="Normal 25 2 2" xfId="324" xr:uid="{00000000-0005-0000-0000-0000FF000000}"/>
    <cellStyle name="Normal 25 3" xfId="473" xr:uid="{00000000-0005-0000-0000-000000010000}"/>
    <cellStyle name="Normal 25 4" xfId="530" xr:uid="{00000000-0005-0000-0000-000001010000}"/>
    <cellStyle name="Normal 25 5" xfId="323" xr:uid="{00000000-0005-0000-0000-000002010000}"/>
    <cellStyle name="Normal 26" xfId="136" xr:uid="{00000000-0005-0000-0000-000003010000}"/>
    <cellStyle name="Normal 26 2" xfId="137" xr:uid="{00000000-0005-0000-0000-000004010000}"/>
    <cellStyle name="Normal 26 2 2" xfId="326" xr:uid="{00000000-0005-0000-0000-000005010000}"/>
    <cellStyle name="Normal 26 3" xfId="474" xr:uid="{00000000-0005-0000-0000-000006010000}"/>
    <cellStyle name="Normal 26 4" xfId="531" xr:uid="{00000000-0005-0000-0000-000007010000}"/>
    <cellStyle name="Normal 26 5" xfId="325" xr:uid="{00000000-0005-0000-0000-000008010000}"/>
    <cellStyle name="Normal 27" xfId="138" xr:uid="{00000000-0005-0000-0000-000009010000}"/>
    <cellStyle name="Normal 27 2" xfId="139" xr:uid="{00000000-0005-0000-0000-00000A010000}"/>
    <cellStyle name="Normal 27 2 2" xfId="328" xr:uid="{00000000-0005-0000-0000-00000B010000}"/>
    <cellStyle name="Normal 27 3" xfId="475" xr:uid="{00000000-0005-0000-0000-00000C010000}"/>
    <cellStyle name="Normal 27 4" xfId="532" xr:uid="{00000000-0005-0000-0000-00000D010000}"/>
    <cellStyle name="Normal 27 5" xfId="327" xr:uid="{00000000-0005-0000-0000-00000E010000}"/>
    <cellStyle name="Normal 28" xfId="140" xr:uid="{00000000-0005-0000-0000-00000F010000}"/>
    <cellStyle name="Normal 28 2" xfId="141" xr:uid="{00000000-0005-0000-0000-000010010000}"/>
    <cellStyle name="Normal 28 2 2" xfId="330" xr:uid="{00000000-0005-0000-0000-000011010000}"/>
    <cellStyle name="Normal 28 3" xfId="476" xr:uid="{00000000-0005-0000-0000-000012010000}"/>
    <cellStyle name="Normal 28 4" xfId="329" xr:uid="{00000000-0005-0000-0000-000013010000}"/>
    <cellStyle name="Normal 29" xfId="142" xr:uid="{00000000-0005-0000-0000-000014010000}"/>
    <cellStyle name="Normal 29 2" xfId="143" xr:uid="{00000000-0005-0000-0000-000015010000}"/>
    <cellStyle name="Normal 29 2 2" xfId="332" xr:uid="{00000000-0005-0000-0000-000016010000}"/>
    <cellStyle name="Normal 29 3" xfId="477" xr:uid="{00000000-0005-0000-0000-000017010000}"/>
    <cellStyle name="Normal 29 4" xfId="331" xr:uid="{00000000-0005-0000-0000-000018010000}"/>
    <cellStyle name="Normal 3" xfId="144" xr:uid="{00000000-0005-0000-0000-000019010000}"/>
    <cellStyle name="Normal 3 2" xfId="145" xr:uid="{00000000-0005-0000-0000-00001A010000}"/>
    <cellStyle name="Normal 3 3" xfId="146" xr:uid="{00000000-0005-0000-0000-00001B010000}"/>
    <cellStyle name="Normal 3 3 2" xfId="334" xr:uid="{00000000-0005-0000-0000-00001C010000}"/>
    <cellStyle name="Normal 3 4" xfId="478" xr:uid="{00000000-0005-0000-0000-00001D010000}"/>
    <cellStyle name="Normal 3 5" xfId="333" xr:uid="{00000000-0005-0000-0000-00001E010000}"/>
    <cellStyle name="Normal 30" xfId="147" xr:uid="{00000000-0005-0000-0000-00001F010000}"/>
    <cellStyle name="Normal 30 2" xfId="148" xr:uid="{00000000-0005-0000-0000-000020010000}"/>
    <cellStyle name="Normal 30 2 2" xfId="336" xr:uid="{00000000-0005-0000-0000-000021010000}"/>
    <cellStyle name="Normal 30 3" xfId="479" xr:uid="{00000000-0005-0000-0000-000022010000}"/>
    <cellStyle name="Normal 30 4" xfId="335" xr:uid="{00000000-0005-0000-0000-000023010000}"/>
    <cellStyle name="Normal 31" xfId="149" xr:uid="{00000000-0005-0000-0000-000024010000}"/>
    <cellStyle name="Normal 31 2" xfId="150" xr:uid="{00000000-0005-0000-0000-000025010000}"/>
    <cellStyle name="Normal 31 2 2" xfId="338" xr:uid="{00000000-0005-0000-0000-000026010000}"/>
    <cellStyle name="Normal 31 3" xfId="480" xr:uid="{00000000-0005-0000-0000-000027010000}"/>
    <cellStyle name="Normal 31 4" xfId="337" xr:uid="{00000000-0005-0000-0000-000028010000}"/>
    <cellStyle name="Normal 32" xfId="151" xr:uid="{00000000-0005-0000-0000-000029010000}"/>
    <cellStyle name="Normal 32 2" xfId="152" xr:uid="{00000000-0005-0000-0000-00002A010000}"/>
    <cellStyle name="Normal 32 2 2" xfId="340" xr:uid="{00000000-0005-0000-0000-00002B010000}"/>
    <cellStyle name="Normal 32 3" xfId="481" xr:uid="{00000000-0005-0000-0000-00002C010000}"/>
    <cellStyle name="Normal 32 4" xfId="339" xr:uid="{00000000-0005-0000-0000-00002D010000}"/>
    <cellStyle name="Normal 33" xfId="153" xr:uid="{00000000-0005-0000-0000-00002E010000}"/>
    <cellStyle name="Normal 33 2" xfId="154" xr:uid="{00000000-0005-0000-0000-00002F010000}"/>
    <cellStyle name="Normal 33 2 2" xfId="342" xr:uid="{00000000-0005-0000-0000-000030010000}"/>
    <cellStyle name="Normal 33 3" xfId="482" xr:uid="{00000000-0005-0000-0000-000031010000}"/>
    <cellStyle name="Normal 33 4" xfId="341" xr:uid="{00000000-0005-0000-0000-000032010000}"/>
    <cellStyle name="Normal 34" xfId="155" xr:uid="{00000000-0005-0000-0000-000033010000}"/>
    <cellStyle name="Normal 34 2" xfId="483" xr:uid="{00000000-0005-0000-0000-000034010000}"/>
    <cellStyle name="Normal 34 3" xfId="343" xr:uid="{00000000-0005-0000-0000-000035010000}"/>
    <cellStyle name="Normal 35" xfId="156" xr:uid="{00000000-0005-0000-0000-000036010000}"/>
    <cellStyle name="Normal 35 2" xfId="157" xr:uid="{00000000-0005-0000-0000-000037010000}"/>
    <cellStyle name="Normal 35 2 2" xfId="345" xr:uid="{00000000-0005-0000-0000-000038010000}"/>
    <cellStyle name="Normal 35 3" xfId="484" xr:uid="{00000000-0005-0000-0000-000039010000}"/>
    <cellStyle name="Normal 35 4" xfId="344" xr:uid="{00000000-0005-0000-0000-00003A010000}"/>
    <cellStyle name="Normal 36" xfId="158" xr:uid="{00000000-0005-0000-0000-00003B010000}"/>
    <cellStyle name="Normal 36 2" xfId="159" xr:uid="{00000000-0005-0000-0000-00003C010000}"/>
    <cellStyle name="Normal 36 2 2" xfId="347" xr:uid="{00000000-0005-0000-0000-00003D010000}"/>
    <cellStyle name="Normal 36 3" xfId="485" xr:uid="{00000000-0005-0000-0000-00003E010000}"/>
    <cellStyle name="Normal 36 4" xfId="533" xr:uid="{00000000-0005-0000-0000-00003F010000}"/>
    <cellStyle name="Normal 36 5" xfId="346" xr:uid="{00000000-0005-0000-0000-000040010000}"/>
    <cellStyle name="Normal 37" xfId="160" xr:uid="{00000000-0005-0000-0000-000041010000}"/>
    <cellStyle name="Normal 37 2" xfId="161" xr:uid="{00000000-0005-0000-0000-000042010000}"/>
    <cellStyle name="Normal 37 2 2" xfId="349" xr:uid="{00000000-0005-0000-0000-000043010000}"/>
    <cellStyle name="Normal 37 3" xfId="486" xr:uid="{00000000-0005-0000-0000-000044010000}"/>
    <cellStyle name="Normal 37 4" xfId="348" xr:uid="{00000000-0005-0000-0000-000045010000}"/>
    <cellStyle name="Normal 38" xfId="162" xr:uid="{00000000-0005-0000-0000-000046010000}"/>
    <cellStyle name="Normal 38 2" xfId="487" xr:uid="{00000000-0005-0000-0000-000047010000}"/>
    <cellStyle name="Normal 38 3" xfId="350" xr:uid="{00000000-0005-0000-0000-000048010000}"/>
    <cellStyle name="Normal 39" xfId="163" xr:uid="{00000000-0005-0000-0000-000049010000}"/>
    <cellStyle name="Normal 39 2" xfId="488" xr:uid="{00000000-0005-0000-0000-00004A010000}"/>
    <cellStyle name="Normal 39 3" xfId="351" xr:uid="{00000000-0005-0000-0000-00004B010000}"/>
    <cellStyle name="Normal 4" xfId="164" xr:uid="{00000000-0005-0000-0000-00004C010000}"/>
    <cellStyle name="Normal 4 2" xfId="165" xr:uid="{00000000-0005-0000-0000-00004D010000}"/>
    <cellStyle name="Normal 4 3" xfId="166" xr:uid="{00000000-0005-0000-0000-00004E010000}"/>
    <cellStyle name="Normal 4 3 2" xfId="353" xr:uid="{00000000-0005-0000-0000-00004F010000}"/>
    <cellStyle name="Normal 4 4" xfId="489" xr:uid="{00000000-0005-0000-0000-000050010000}"/>
    <cellStyle name="Normal 4 5" xfId="352" xr:uid="{00000000-0005-0000-0000-000051010000}"/>
    <cellStyle name="Normal 40" xfId="167" xr:uid="{00000000-0005-0000-0000-000052010000}"/>
    <cellStyle name="Normal 40 2" xfId="490" xr:uid="{00000000-0005-0000-0000-000053010000}"/>
    <cellStyle name="Normal 40 3" xfId="354" xr:uid="{00000000-0005-0000-0000-000054010000}"/>
    <cellStyle name="Normal 41" xfId="168" xr:uid="{00000000-0005-0000-0000-000055010000}"/>
    <cellStyle name="Normal 41 2" xfId="169" xr:uid="{00000000-0005-0000-0000-000056010000}"/>
    <cellStyle name="Normal 41 2 2" xfId="356" xr:uid="{00000000-0005-0000-0000-000057010000}"/>
    <cellStyle name="Normal 41 3" xfId="491" xr:uid="{00000000-0005-0000-0000-000058010000}"/>
    <cellStyle name="Normal 41 4" xfId="355" xr:uid="{00000000-0005-0000-0000-000059010000}"/>
    <cellStyle name="Normal 42" xfId="170" xr:uid="{00000000-0005-0000-0000-00005A010000}"/>
    <cellStyle name="Normal 42 2" xfId="492" xr:uid="{00000000-0005-0000-0000-00005B010000}"/>
    <cellStyle name="Normal 42 3" xfId="357" xr:uid="{00000000-0005-0000-0000-00005C010000}"/>
    <cellStyle name="Normal 43" xfId="171" xr:uid="{00000000-0005-0000-0000-00005D010000}"/>
    <cellStyle name="Normal 43 2" xfId="493" xr:uid="{00000000-0005-0000-0000-00005E010000}"/>
    <cellStyle name="Normal 43 3" xfId="358" xr:uid="{00000000-0005-0000-0000-00005F010000}"/>
    <cellStyle name="Normal 44" xfId="172" xr:uid="{00000000-0005-0000-0000-000060010000}"/>
    <cellStyle name="Normal 44 2" xfId="359" xr:uid="{00000000-0005-0000-0000-000061010000}"/>
    <cellStyle name="Normal 45" xfId="173" xr:uid="{00000000-0005-0000-0000-000062010000}"/>
    <cellStyle name="Normal 45 2" xfId="360" xr:uid="{00000000-0005-0000-0000-000063010000}"/>
    <cellStyle name="Normal 46" xfId="174" xr:uid="{00000000-0005-0000-0000-000064010000}"/>
    <cellStyle name="Normal 46 2" xfId="361" xr:uid="{00000000-0005-0000-0000-000065010000}"/>
    <cellStyle name="Normal 47" xfId="175" xr:uid="{00000000-0005-0000-0000-000066010000}"/>
    <cellStyle name="Normal 47 2" xfId="362" xr:uid="{00000000-0005-0000-0000-000067010000}"/>
    <cellStyle name="Normal 48" xfId="176" xr:uid="{00000000-0005-0000-0000-000068010000}"/>
    <cellStyle name="Normal 48 2" xfId="363" xr:uid="{00000000-0005-0000-0000-000069010000}"/>
    <cellStyle name="Normal 49" xfId="177" xr:uid="{00000000-0005-0000-0000-00006A010000}"/>
    <cellStyle name="Normal 49 2" xfId="364" xr:uid="{00000000-0005-0000-0000-00006B010000}"/>
    <cellStyle name="Normal 5" xfId="178" xr:uid="{00000000-0005-0000-0000-00006C010000}"/>
    <cellStyle name="Normal 5 2" xfId="179" xr:uid="{00000000-0005-0000-0000-00006D010000}"/>
    <cellStyle name="Normal 5 3" xfId="180" xr:uid="{00000000-0005-0000-0000-00006E010000}"/>
    <cellStyle name="Normal 5 3 2" xfId="181" xr:uid="{00000000-0005-0000-0000-00006F010000}"/>
    <cellStyle name="Normal 5 3 2 2" xfId="367" xr:uid="{00000000-0005-0000-0000-000070010000}"/>
    <cellStyle name="Normal 5 3 3" xfId="495" xr:uid="{00000000-0005-0000-0000-000071010000}"/>
    <cellStyle name="Normal 5 3 4" xfId="535" xr:uid="{00000000-0005-0000-0000-000072010000}"/>
    <cellStyle name="Normal 5 3 5" xfId="366" xr:uid="{00000000-0005-0000-0000-000073010000}"/>
    <cellStyle name="Normal 5 4" xfId="182" xr:uid="{00000000-0005-0000-0000-000074010000}"/>
    <cellStyle name="Normal 5 4 2" xfId="183" xr:uid="{00000000-0005-0000-0000-000075010000}"/>
    <cellStyle name="Normal 5 4 2 2" xfId="369" xr:uid="{00000000-0005-0000-0000-000076010000}"/>
    <cellStyle name="Normal 5 4 3" xfId="496" xr:uid="{00000000-0005-0000-0000-000077010000}"/>
    <cellStyle name="Normal 5 4 4" xfId="536" xr:uid="{00000000-0005-0000-0000-000078010000}"/>
    <cellStyle name="Normal 5 4 5" xfId="368" xr:uid="{00000000-0005-0000-0000-000079010000}"/>
    <cellStyle name="Normal 5 5" xfId="184" xr:uid="{00000000-0005-0000-0000-00007A010000}"/>
    <cellStyle name="Normal 5 5 2" xfId="370" xr:uid="{00000000-0005-0000-0000-00007B010000}"/>
    <cellStyle name="Normal 5 6" xfId="494" xr:uid="{00000000-0005-0000-0000-00007C010000}"/>
    <cellStyle name="Normal 5 7" xfId="534" xr:uid="{00000000-0005-0000-0000-00007D010000}"/>
    <cellStyle name="Normal 5 8" xfId="365" xr:uid="{00000000-0005-0000-0000-00007E010000}"/>
    <cellStyle name="Normal 50" xfId="185" xr:uid="{00000000-0005-0000-0000-00007F010000}"/>
    <cellStyle name="Normal 50 2" xfId="371" xr:uid="{00000000-0005-0000-0000-000080010000}"/>
    <cellStyle name="Normal 51" xfId="186" xr:uid="{00000000-0005-0000-0000-000081010000}"/>
    <cellStyle name="Normal 51 2" xfId="372" xr:uid="{00000000-0005-0000-0000-000082010000}"/>
    <cellStyle name="Normal 52" xfId="187" xr:uid="{00000000-0005-0000-0000-000083010000}"/>
    <cellStyle name="Normal 52 2" xfId="373" xr:uid="{00000000-0005-0000-0000-000084010000}"/>
    <cellStyle name="Normal 53" xfId="188" xr:uid="{00000000-0005-0000-0000-000085010000}"/>
    <cellStyle name="Normal 53 2" xfId="374" xr:uid="{00000000-0005-0000-0000-000086010000}"/>
    <cellStyle name="Normal 54" xfId="189" xr:uid="{00000000-0005-0000-0000-000087010000}"/>
    <cellStyle name="Normal 54 2" xfId="375" xr:uid="{00000000-0005-0000-0000-000088010000}"/>
    <cellStyle name="Normal 55" xfId="190" xr:uid="{00000000-0005-0000-0000-000089010000}"/>
    <cellStyle name="Normal 55 2" xfId="376" xr:uid="{00000000-0005-0000-0000-00008A010000}"/>
    <cellStyle name="Normal 56" xfId="191" xr:uid="{00000000-0005-0000-0000-00008B010000}"/>
    <cellStyle name="Normal 56 2" xfId="377" xr:uid="{00000000-0005-0000-0000-00008C010000}"/>
    <cellStyle name="Normal 57" xfId="192" xr:uid="{00000000-0005-0000-0000-00008D010000}"/>
    <cellStyle name="Normal 57 2" xfId="378" xr:uid="{00000000-0005-0000-0000-00008E010000}"/>
    <cellStyle name="Normal 58" xfId="193" xr:uid="{00000000-0005-0000-0000-00008F010000}"/>
    <cellStyle name="Normal 58 2" xfId="379" xr:uid="{00000000-0005-0000-0000-000090010000}"/>
    <cellStyle name="Normal 59" xfId="194" xr:uid="{00000000-0005-0000-0000-000091010000}"/>
    <cellStyle name="Normal 59 2" xfId="380" xr:uid="{00000000-0005-0000-0000-000092010000}"/>
    <cellStyle name="Normal 6" xfId="195" xr:uid="{00000000-0005-0000-0000-000093010000}"/>
    <cellStyle name="Normal 6 2" xfId="196" xr:uid="{00000000-0005-0000-0000-000094010000}"/>
    <cellStyle name="Normal 6 3" xfId="197" xr:uid="{00000000-0005-0000-0000-000095010000}"/>
    <cellStyle name="Normal 6 3 2" xfId="382" xr:uid="{00000000-0005-0000-0000-000096010000}"/>
    <cellStyle name="Normal 6 4" xfId="497" xr:uid="{00000000-0005-0000-0000-000097010000}"/>
    <cellStyle name="Normal 6 5" xfId="381" xr:uid="{00000000-0005-0000-0000-000098010000}"/>
    <cellStyle name="Normal 60" xfId="198" xr:uid="{00000000-0005-0000-0000-000099010000}"/>
    <cellStyle name="Normal 60 2" xfId="383" xr:uid="{00000000-0005-0000-0000-00009A010000}"/>
    <cellStyle name="Normal 61" xfId="199" xr:uid="{00000000-0005-0000-0000-00009B010000}"/>
    <cellStyle name="Normal 61 2" xfId="384" xr:uid="{00000000-0005-0000-0000-00009C010000}"/>
    <cellStyle name="Normal 62" xfId="200" xr:uid="{00000000-0005-0000-0000-00009D010000}"/>
    <cellStyle name="Normal 62 2" xfId="385" xr:uid="{00000000-0005-0000-0000-00009E010000}"/>
    <cellStyle name="Normal 63" xfId="201" xr:uid="{00000000-0005-0000-0000-00009F010000}"/>
    <cellStyle name="Normal 63 2" xfId="386" xr:uid="{00000000-0005-0000-0000-0000A0010000}"/>
    <cellStyle name="Normal 64" xfId="202" xr:uid="{00000000-0005-0000-0000-0000A1010000}"/>
    <cellStyle name="Normal 64 2" xfId="387" xr:uid="{00000000-0005-0000-0000-0000A2010000}"/>
    <cellStyle name="Normal 65" xfId="203" xr:uid="{00000000-0005-0000-0000-0000A3010000}"/>
    <cellStyle name="Normal 65 2" xfId="388" xr:uid="{00000000-0005-0000-0000-0000A4010000}"/>
    <cellStyle name="Normal 66" xfId="389" xr:uid="{00000000-0005-0000-0000-0000A5010000}"/>
    <cellStyle name="Normal 67" xfId="390" xr:uid="{00000000-0005-0000-0000-0000A6010000}"/>
    <cellStyle name="Normal 68" xfId="391" xr:uid="{00000000-0005-0000-0000-0000A7010000}"/>
    <cellStyle name="Normal 69" xfId="392" xr:uid="{00000000-0005-0000-0000-0000A8010000}"/>
    <cellStyle name="Normal 7" xfId="204" xr:uid="{00000000-0005-0000-0000-0000A9010000}"/>
    <cellStyle name="Normal 7 2" xfId="205" xr:uid="{00000000-0005-0000-0000-0000AA010000}"/>
    <cellStyle name="Normal 7 3" xfId="206" xr:uid="{00000000-0005-0000-0000-0000AB010000}"/>
    <cellStyle name="Normal 7 3 2" xfId="207" xr:uid="{00000000-0005-0000-0000-0000AC010000}"/>
    <cellStyle name="Normal 7 3 2 2" xfId="395" xr:uid="{00000000-0005-0000-0000-0000AD010000}"/>
    <cellStyle name="Normal 7 3 3" xfId="499" xr:uid="{00000000-0005-0000-0000-0000AE010000}"/>
    <cellStyle name="Normal 7 3 4" xfId="394" xr:uid="{00000000-0005-0000-0000-0000AF010000}"/>
    <cellStyle name="Normal 7 4" xfId="208" xr:uid="{00000000-0005-0000-0000-0000B0010000}"/>
    <cellStyle name="Normal 7 4 2" xfId="396" xr:uid="{00000000-0005-0000-0000-0000B1010000}"/>
    <cellStyle name="Normal 7 5" xfId="498" xr:uid="{00000000-0005-0000-0000-0000B2010000}"/>
    <cellStyle name="Normal 7 6" xfId="537" xr:uid="{00000000-0005-0000-0000-0000B3010000}"/>
    <cellStyle name="Normal 7 7" xfId="393" xr:uid="{00000000-0005-0000-0000-0000B4010000}"/>
    <cellStyle name="Normal 70" xfId="397" xr:uid="{00000000-0005-0000-0000-0000B5010000}"/>
    <cellStyle name="Normal 71" xfId="398" xr:uid="{00000000-0005-0000-0000-0000B6010000}"/>
    <cellStyle name="Normal 72" xfId="399" xr:uid="{00000000-0005-0000-0000-0000B7010000}"/>
    <cellStyle name="Normal 73" xfId="400" xr:uid="{00000000-0005-0000-0000-0000B8010000}"/>
    <cellStyle name="Normal 74" xfId="401" xr:uid="{00000000-0005-0000-0000-0000B9010000}"/>
    <cellStyle name="Normal 75" xfId="402" xr:uid="{00000000-0005-0000-0000-0000BA010000}"/>
    <cellStyle name="Normal 76" xfId="403" xr:uid="{00000000-0005-0000-0000-0000BB010000}"/>
    <cellStyle name="Normal 77" xfId="504" xr:uid="{00000000-0005-0000-0000-0000BC010000}"/>
    <cellStyle name="Normal 78" xfId="519" xr:uid="{00000000-0005-0000-0000-0000BD010000}"/>
    <cellStyle name="Normal 79" xfId="251" xr:uid="{00000000-0005-0000-0000-0000BE010000}"/>
    <cellStyle name="Normal 8" xfId="209" xr:uid="{00000000-0005-0000-0000-0000BF010000}"/>
    <cellStyle name="Normal 8 2" xfId="210" xr:uid="{00000000-0005-0000-0000-0000C0010000}"/>
    <cellStyle name="Normal 8 3" xfId="211" xr:uid="{00000000-0005-0000-0000-0000C1010000}"/>
    <cellStyle name="Normal 8 3 2" xfId="405" xr:uid="{00000000-0005-0000-0000-0000C2010000}"/>
    <cellStyle name="Normal 8 4" xfId="500" xr:uid="{00000000-0005-0000-0000-0000C3010000}"/>
    <cellStyle name="Normal 8 5" xfId="538" xr:uid="{00000000-0005-0000-0000-0000C4010000}"/>
    <cellStyle name="Normal 8 6" xfId="404" xr:uid="{00000000-0005-0000-0000-0000C5010000}"/>
    <cellStyle name="Normal 9" xfId="212" xr:uid="{00000000-0005-0000-0000-0000C6010000}"/>
    <cellStyle name="Normal 9 2" xfId="213" xr:uid="{00000000-0005-0000-0000-0000C7010000}"/>
    <cellStyle name="Normal 9 2 2" xfId="214" xr:uid="{00000000-0005-0000-0000-0000C8010000}"/>
    <cellStyle name="Normal 9 2 2 2" xfId="408" xr:uid="{00000000-0005-0000-0000-0000C9010000}"/>
    <cellStyle name="Normal 9 2 3" xfId="502" xr:uid="{00000000-0005-0000-0000-0000CA010000}"/>
    <cellStyle name="Normal 9 2 4" xfId="407" xr:uid="{00000000-0005-0000-0000-0000CB010000}"/>
    <cellStyle name="Normal 9 3" xfId="215" xr:uid="{00000000-0005-0000-0000-0000CC010000}"/>
    <cellStyle name="Normal 9 3 2" xfId="409" xr:uid="{00000000-0005-0000-0000-0000CD010000}"/>
    <cellStyle name="Normal 9 4" xfId="501" xr:uid="{00000000-0005-0000-0000-0000CE010000}"/>
    <cellStyle name="Normal 9 5" xfId="539" xr:uid="{00000000-0005-0000-0000-0000CF010000}"/>
    <cellStyle name="Normal 9 6" xfId="406" xr:uid="{00000000-0005-0000-0000-0000D0010000}"/>
    <cellStyle name="Note 2" xfId="216" xr:uid="{00000000-0005-0000-0000-0000D1010000}"/>
    <cellStyle name="Note 2 2" xfId="217" xr:uid="{00000000-0005-0000-0000-0000D2010000}"/>
    <cellStyle name="Note 2 2 2" xfId="411" xr:uid="{00000000-0005-0000-0000-0000D3010000}"/>
    <cellStyle name="Note 2 3" xfId="503" xr:uid="{00000000-0005-0000-0000-0000D4010000}"/>
    <cellStyle name="Note 2 4" xfId="410" xr:uid="{00000000-0005-0000-0000-0000D5010000}"/>
    <cellStyle name="Output 2" xfId="218" xr:uid="{00000000-0005-0000-0000-0000D6010000}"/>
    <cellStyle name="Output 2 2" xfId="412" xr:uid="{00000000-0005-0000-0000-0000D7010000}"/>
    <cellStyle name="Output Amounts" xfId="219" xr:uid="{00000000-0005-0000-0000-0000D8010000}"/>
    <cellStyle name="Output Column Headings" xfId="220" xr:uid="{00000000-0005-0000-0000-0000D9010000}"/>
    <cellStyle name="Output Line Items" xfId="221" xr:uid="{00000000-0005-0000-0000-0000DA010000}"/>
    <cellStyle name="Output Report Heading" xfId="222" xr:uid="{00000000-0005-0000-0000-0000DB010000}"/>
    <cellStyle name="Output Report Title" xfId="223" xr:uid="{00000000-0005-0000-0000-0000DC010000}"/>
    <cellStyle name="Percent [2]" xfId="224" xr:uid="{00000000-0005-0000-0000-0000DD010000}"/>
    <cellStyle name="Percent [2] 2" xfId="225" xr:uid="{00000000-0005-0000-0000-0000DE010000}"/>
    <cellStyle name="Percent [2] 2 2" xfId="414" xr:uid="{00000000-0005-0000-0000-0000DF010000}"/>
    <cellStyle name="Percent [2] 3" xfId="505" xr:uid="{00000000-0005-0000-0000-0000E0010000}"/>
    <cellStyle name="Percent [2] 4" xfId="413" xr:uid="{00000000-0005-0000-0000-0000E1010000}"/>
    <cellStyle name="Percent 10" xfId="226" xr:uid="{00000000-0005-0000-0000-0000E2010000}"/>
    <cellStyle name="Percent 10 2" xfId="506" xr:uid="{00000000-0005-0000-0000-0000E3010000}"/>
    <cellStyle name="Percent 10 3" xfId="415" xr:uid="{00000000-0005-0000-0000-0000E4010000}"/>
    <cellStyle name="Percent 11" xfId="227" xr:uid="{00000000-0005-0000-0000-0000E5010000}"/>
    <cellStyle name="Percent 11 2" xfId="507" xr:uid="{00000000-0005-0000-0000-0000E6010000}"/>
    <cellStyle name="Percent 11 3" xfId="416" xr:uid="{00000000-0005-0000-0000-0000E7010000}"/>
    <cellStyle name="Percent 17" xfId="228" xr:uid="{00000000-0005-0000-0000-0000E8010000}"/>
    <cellStyle name="Percent 17 2" xfId="229" xr:uid="{00000000-0005-0000-0000-0000E9010000}"/>
    <cellStyle name="Percent 17 2 2" xfId="418" xr:uid="{00000000-0005-0000-0000-0000EA010000}"/>
    <cellStyle name="Percent 17 3" xfId="508" xr:uid="{00000000-0005-0000-0000-0000EB010000}"/>
    <cellStyle name="Percent 17 4" xfId="417" xr:uid="{00000000-0005-0000-0000-0000EC010000}"/>
    <cellStyle name="Percent 2" xfId="230" xr:uid="{00000000-0005-0000-0000-0000ED010000}"/>
    <cellStyle name="Percent 2 2" xfId="231" xr:uid="{00000000-0005-0000-0000-0000EE010000}"/>
    <cellStyle name="Percent 2 2 2" xfId="420" xr:uid="{00000000-0005-0000-0000-0000EF010000}"/>
    <cellStyle name="Percent 2 3" xfId="509" xr:uid="{00000000-0005-0000-0000-0000F0010000}"/>
    <cellStyle name="Percent 2 4" xfId="419" xr:uid="{00000000-0005-0000-0000-0000F1010000}"/>
    <cellStyle name="Percent 3" xfId="232" xr:uid="{00000000-0005-0000-0000-0000F2010000}"/>
    <cellStyle name="Percent 3 2" xfId="233" xr:uid="{00000000-0005-0000-0000-0000F3010000}"/>
    <cellStyle name="Percent 3 2 2" xfId="422" xr:uid="{00000000-0005-0000-0000-0000F4010000}"/>
    <cellStyle name="Percent 3 3" xfId="510" xr:uid="{00000000-0005-0000-0000-0000F5010000}"/>
    <cellStyle name="Percent 3 4" xfId="421" xr:uid="{00000000-0005-0000-0000-0000F6010000}"/>
    <cellStyle name="Percent 4" xfId="234" xr:uid="{00000000-0005-0000-0000-0000F7010000}"/>
    <cellStyle name="Percent 4 2" xfId="235" xr:uid="{00000000-0005-0000-0000-0000F8010000}"/>
    <cellStyle name="Percent 4 2 2" xfId="424" xr:uid="{00000000-0005-0000-0000-0000F9010000}"/>
    <cellStyle name="Percent 4 3" xfId="511" xr:uid="{00000000-0005-0000-0000-0000FA010000}"/>
    <cellStyle name="Percent 4 4" xfId="423" xr:uid="{00000000-0005-0000-0000-0000FB010000}"/>
    <cellStyle name="Percent 5" xfId="236" xr:uid="{00000000-0005-0000-0000-0000FC010000}"/>
    <cellStyle name="Percent 5 2" xfId="237" xr:uid="{00000000-0005-0000-0000-0000FD010000}"/>
    <cellStyle name="Percent 5 2 2" xfId="426" xr:uid="{00000000-0005-0000-0000-0000FE010000}"/>
    <cellStyle name="Percent 5 3" xfId="512" xr:uid="{00000000-0005-0000-0000-0000FF010000}"/>
    <cellStyle name="Percent 5 4" xfId="425" xr:uid="{00000000-0005-0000-0000-000000020000}"/>
    <cellStyle name="Percent 6" xfId="238" xr:uid="{00000000-0005-0000-0000-000001020000}"/>
    <cellStyle name="Percent 6 2" xfId="239" xr:uid="{00000000-0005-0000-0000-000002020000}"/>
    <cellStyle name="Percent 6 2 2" xfId="428" xr:uid="{00000000-0005-0000-0000-000003020000}"/>
    <cellStyle name="Percent 6 3" xfId="513" xr:uid="{00000000-0005-0000-0000-000004020000}"/>
    <cellStyle name="Percent 6 4" xfId="427" xr:uid="{00000000-0005-0000-0000-000005020000}"/>
    <cellStyle name="Percent 7" xfId="240" xr:uid="{00000000-0005-0000-0000-000006020000}"/>
    <cellStyle name="Percent 7 2" xfId="241" xr:uid="{00000000-0005-0000-0000-000007020000}"/>
    <cellStyle name="Percent 7 2 2" xfId="515" xr:uid="{00000000-0005-0000-0000-000008020000}"/>
    <cellStyle name="Percent 7 2 3" xfId="430" xr:uid="{00000000-0005-0000-0000-000009020000}"/>
    <cellStyle name="Percent 7 3" xfId="514" xr:uid="{00000000-0005-0000-0000-00000A020000}"/>
    <cellStyle name="Percent 7 4" xfId="429" xr:uid="{00000000-0005-0000-0000-00000B020000}"/>
    <cellStyle name="Percent 8" xfId="242" xr:uid="{00000000-0005-0000-0000-00000C020000}"/>
    <cellStyle name="Percent 8 2" xfId="243" xr:uid="{00000000-0005-0000-0000-00000D020000}"/>
    <cellStyle name="Percent 8 2 2" xfId="517" xr:uid="{00000000-0005-0000-0000-00000E020000}"/>
    <cellStyle name="Percent 8 2 3" xfId="432" xr:uid="{00000000-0005-0000-0000-00000F020000}"/>
    <cellStyle name="Percent 8 3" xfId="516" xr:uid="{00000000-0005-0000-0000-000010020000}"/>
    <cellStyle name="Percent 8 4" xfId="431" xr:uid="{00000000-0005-0000-0000-000011020000}"/>
    <cellStyle name="Percent 9" xfId="244" xr:uid="{00000000-0005-0000-0000-000012020000}"/>
    <cellStyle name="Percent 9 2" xfId="518" xr:uid="{00000000-0005-0000-0000-000013020000}"/>
    <cellStyle name="Percent 9 3" xfId="433" xr:uid="{00000000-0005-0000-0000-000014020000}"/>
    <cellStyle name="Title 2" xfId="245" xr:uid="{00000000-0005-0000-0000-000015020000}"/>
    <cellStyle name="Total 2" xfId="246" xr:uid="{00000000-0005-0000-0000-000016020000}"/>
    <cellStyle name="Total 2 2" xfId="434" xr:uid="{00000000-0005-0000-0000-000017020000}"/>
    <cellStyle name="Unprot" xfId="247" xr:uid="{00000000-0005-0000-0000-000018020000}"/>
    <cellStyle name="Unprot$" xfId="248" xr:uid="{00000000-0005-0000-0000-000019020000}"/>
    <cellStyle name="Unprotect" xfId="249" xr:uid="{00000000-0005-0000-0000-00001A020000}"/>
    <cellStyle name="Warning Text 2" xfId="250" xr:uid="{00000000-0005-0000-0000-00001B02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D7E9F2"/>
      <rgbColor rgb="003366FF"/>
      <rgbColor rgb="0033CCCC"/>
      <rgbColor rgb="0099CC00"/>
      <rgbColor rgb="009BBFDB"/>
      <rgbColor rgb="005A82A6"/>
      <rgbColor rgb="0033495F"/>
      <rgbColor rgb="00666699"/>
      <rgbColor rgb="00969696"/>
      <rgbColor rgb="00003366"/>
      <rgbColor rgb="00339966"/>
      <rgbColor rgb="00003300"/>
      <rgbColor rgb="00333300"/>
      <rgbColor rgb="001D396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</xdr:colOff>
      <xdr:row>0</xdr:row>
      <xdr:rowOff>38100</xdr:rowOff>
    </xdr:from>
    <xdr:to>
      <xdr:col>10</xdr:col>
      <xdr:colOff>42249</xdr:colOff>
      <xdr:row>3</xdr:row>
      <xdr:rowOff>36195</xdr:rowOff>
    </xdr:to>
    <xdr:pic>
      <xdr:nvPicPr>
        <xdr:cNvPr id="3" name="Picture 2" descr="MHEDA">
          <a:extLst>
            <a:ext uri="{FF2B5EF4-FFF2-40B4-BE49-F238E27FC236}">
              <a16:creationId xmlns:a16="http://schemas.microsoft.com/office/drawing/2014/main" id="{4231E378-6BF5-4541-8AF2-07F3B6624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" y="38100"/>
          <a:ext cx="2004399" cy="661035"/>
        </a:xfrm>
        <a:prstGeom prst="rect">
          <a:avLst/>
        </a:prstGeom>
        <a:solidFill>
          <a:schemeClr val="bg1"/>
        </a:solidFill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hn@mackayresearchgroup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taylor@mackayresearchgroup.com" TargetMode="External"/><Relationship Id="rId1" Type="http://schemas.openxmlformats.org/officeDocument/2006/relationships/hyperlink" Target="mailto:surveys@mackayresearchgroup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ropbox.com/request/v9lKX7Wl2fQqpyTiqEsw" TargetMode="External"/><Relationship Id="rId4" Type="http://schemas.openxmlformats.org/officeDocument/2006/relationships/hyperlink" Target="mailto:taylor@mackayresearchgroup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9"/>
  <sheetViews>
    <sheetView showGridLines="0" showRowColHeaders="0" tabSelected="1" zoomScaleNormal="100" zoomScaleSheetLayoutView="90" workbookViewId="0">
      <selection activeCell="P18" sqref="P18:T18"/>
    </sheetView>
  </sheetViews>
  <sheetFormatPr defaultColWidth="0" defaultRowHeight="12.75"/>
  <cols>
    <col min="1" max="1" width="4.7109375" customWidth="1"/>
    <col min="2" max="15" width="2.7109375" customWidth="1"/>
    <col min="16" max="16" width="15.7109375" customWidth="1"/>
    <col min="17" max="17" width="2.7109375" customWidth="1"/>
    <col min="18" max="18" width="15.7109375" customWidth="1"/>
    <col min="19" max="19" width="2.7109375" customWidth="1"/>
    <col min="20" max="20" width="15.5703125" customWidth="1"/>
    <col min="21" max="21" width="25.5703125" customWidth="1"/>
    <col min="22" max="22" width="15.5703125" customWidth="1"/>
    <col min="23" max="23" width="18.7109375" hidden="1" customWidth="1"/>
    <col min="24" max="24" width="6.7109375" hidden="1" customWidth="1"/>
    <col min="25" max="16384" width="9.140625" hidden="1"/>
  </cols>
  <sheetData>
    <row r="1" spans="1:22" s="89" customFormat="1" ht="18.75">
      <c r="A1"/>
      <c r="B1"/>
      <c r="C1"/>
      <c r="D1"/>
      <c r="E1"/>
      <c r="F1"/>
      <c r="G1"/>
      <c r="H1"/>
      <c r="I1"/>
      <c r="J1"/>
      <c r="K1" s="279"/>
      <c r="L1" s="279"/>
      <c r="M1" s="279"/>
      <c r="N1" s="279"/>
      <c r="O1" s="279"/>
      <c r="P1" s="279"/>
      <c r="Q1" s="279"/>
      <c r="R1" s="279"/>
      <c r="S1"/>
      <c r="T1" s="308" t="s">
        <v>4</v>
      </c>
      <c r="U1" s="309"/>
      <c r="V1" s="271"/>
    </row>
    <row r="2" spans="1:22" s="89" customFormat="1" ht="18.75">
      <c r="A2"/>
      <c r="B2"/>
      <c r="C2" s="275"/>
      <c r="D2"/>
      <c r="E2"/>
      <c r="F2"/>
      <c r="G2"/>
      <c r="H2"/>
      <c r="I2"/>
      <c r="J2"/>
      <c r="K2" s="279"/>
      <c r="L2" s="279"/>
      <c r="M2" s="279"/>
      <c r="N2" s="279"/>
      <c r="O2" s="279"/>
      <c r="P2" s="279"/>
      <c r="Q2" s="279"/>
      <c r="R2" s="279"/>
      <c r="S2"/>
      <c r="T2" s="310">
        <v>45792</v>
      </c>
      <c r="U2" s="311"/>
      <c r="V2" s="272"/>
    </row>
    <row r="3" spans="1:22" s="89" customFormat="1" ht="18" customHeight="1">
      <c r="A3"/>
      <c r="B3"/>
      <c r="C3" s="275"/>
      <c r="D3"/>
      <c r="E3"/>
      <c r="F3"/>
      <c r="G3"/>
      <c r="H3"/>
      <c r="I3"/>
      <c r="J3"/>
      <c r="K3" s="280"/>
      <c r="L3" s="280"/>
      <c r="M3" s="280"/>
      <c r="N3" s="280"/>
      <c r="O3" s="280"/>
      <c r="P3" s="281" t="s">
        <v>43</v>
      </c>
      <c r="Q3" s="279"/>
      <c r="R3" s="279"/>
      <c r="S3" s="277"/>
      <c r="T3" s="273"/>
      <c r="U3" s="286"/>
      <c r="V3" s="274"/>
    </row>
    <row r="4" spans="1:22" s="89" customFormat="1" ht="18" customHeight="1">
      <c r="A4"/>
      <c r="B4" s="275"/>
      <c r="C4" s="275"/>
      <c r="D4"/>
      <c r="E4"/>
      <c r="F4"/>
      <c r="G4"/>
      <c r="H4"/>
      <c r="I4"/>
      <c r="J4"/>
      <c r="K4" s="298">
        <v>2025</v>
      </c>
      <c r="L4" s="299"/>
      <c r="M4" s="299"/>
      <c r="N4" s="299"/>
      <c r="O4" s="282" t="s">
        <v>549</v>
      </c>
      <c r="P4" s="283"/>
      <c r="Q4" s="279"/>
      <c r="R4" s="278"/>
      <c r="S4"/>
      <c r="T4"/>
      <c r="U4"/>
      <c r="V4"/>
    </row>
    <row r="5" spans="1:22" s="89" customFormat="1" ht="18" customHeight="1" thickBot="1">
      <c r="A5"/>
      <c r="B5" s="275"/>
      <c r="C5" s="275"/>
      <c r="D5"/>
      <c r="E5"/>
      <c r="F5"/>
      <c r="G5"/>
      <c r="H5"/>
      <c r="I5"/>
      <c r="J5"/>
      <c r="K5" s="284"/>
      <c r="L5" s="280"/>
      <c r="M5" s="280"/>
      <c r="N5" s="280"/>
      <c r="O5" s="282"/>
      <c r="P5" s="285" t="s">
        <v>550</v>
      </c>
      <c r="Q5" s="279"/>
      <c r="R5" s="278"/>
      <c r="S5"/>
      <c r="T5"/>
      <c r="U5"/>
      <c r="V5"/>
    </row>
    <row r="6" spans="1:22" s="89" customFormat="1" ht="23.25" thickTop="1">
      <c r="A6" s="259"/>
      <c r="B6" s="259"/>
      <c r="C6" s="259"/>
      <c r="D6" s="259"/>
      <c r="E6" s="259"/>
      <c r="F6" s="259"/>
      <c r="G6" s="259"/>
      <c r="H6" s="259"/>
      <c r="I6" s="259"/>
      <c r="J6" s="259"/>
      <c r="K6" s="260"/>
      <c r="L6" s="260"/>
      <c r="M6" s="260"/>
      <c r="N6" s="260"/>
      <c r="O6" s="260"/>
      <c r="P6" s="261"/>
      <c r="Q6" s="259"/>
      <c r="R6" s="259"/>
      <c r="S6" s="259"/>
      <c r="T6" s="259"/>
      <c r="U6" s="259"/>
      <c r="V6" s="259"/>
    </row>
    <row r="7" spans="1:22" s="89" customFormat="1" ht="6" customHeight="1" thickBot="1">
      <c r="A7"/>
      <c r="B7"/>
      <c r="C7"/>
      <c r="D7"/>
      <c r="E7"/>
      <c r="F7"/>
      <c r="G7"/>
      <c r="H7"/>
      <c r="I7"/>
      <c r="J7"/>
      <c r="K7" s="55"/>
      <c r="L7" s="55"/>
      <c r="M7" s="55"/>
      <c r="N7" s="55"/>
      <c r="O7" s="55"/>
      <c r="P7" s="276"/>
      <c r="Q7"/>
      <c r="R7"/>
      <c r="S7"/>
      <c r="T7"/>
      <c r="U7"/>
      <c r="V7"/>
    </row>
    <row r="8" spans="1:22" ht="12.75" customHeight="1">
      <c r="B8" s="90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2"/>
      <c r="P8" s="93" t="s">
        <v>33</v>
      </c>
      <c r="Q8" s="91"/>
      <c r="R8" s="91"/>
      <c r="S8" s="91"/>
      <c r="T8" s="94"/>
    </row>
    <row r="9" spans="1:22" ht="12.75" customHeight="1">
      <c r="B9" s="95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96"/>
      <c r="P9" s="97" t="s">
        <v>122</v>
      </c>
      <c r="Q9" s="89"/>
      <c r="R9" s="89"/>
      <c r="S9" s="89"/>
      <c r="T9" s="98"/>
    </row>
    <row r="10" spans="1:22" ht="12.75" customHeight="1" thickBot="1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  <c r="P10" s="102" t="s">
        <v>5</v>
      </c>
      <c r="Q10" s="100"/>
      <c r="R10" s="100"/>
      <c r="S10" s="100"/>
      <c r="T10" s="103"/>
    </row>
    <row r="11" spans="1:22" ht="15" customHeight="1">
      <c r="B11" s="1" t="s">
        <v>6</v>
      </c>
      <c r="C11" s="3"/>
      <c r="N11" s="4"/>
      <c r="O11" s="4"/>
      <c r="P11" s="4"/>
      <c r="Q11" s="4"/>
      <c r="R11" s="4"/>
    </row>
    <row r="12" spans="1:22" s="2" customFormat="1" ht="12.75" customHeight="1">
      <c r="A12" s="5" t="s">
        <v>7</v>
      </c>
      <c r="B12" s="20" t="s">
        <v>53</v>
      </c>
      <c r="C12" s="4"/>
      <c r="M12" s="303" t="s">
        <v>120</v>
      </c>
      <c r="N12" s="303"/>
      <c r="O12" s="303"/>
      <c r="P12" s="303"/>
      <c r="Q12" s="303"/>
      <c r="R12" s="303"/>
    </row>
    <row r="13" spans="1:22" s="2" customFormat="1" ht="12.75" customHeight="1">
      <c r="A13" s="5" t="s">
        <v>8</v>
      </c>
      <c r="B13" s="10" t="s">
        <v>547</v>
      </c>
      <c r="C13" s="4"/>
      <c r="N13" s="4"/>
      <c r="O13" s="4"/>
    </row>
    <row r="14" spans="1:22" s="2" customFormat="1" ht="18" customHeight="1">
      <c r="A14" s="5"/>
      <c r="B14" s="312" t="s">
        <v>548</v>
      </c>
      <c r="C14" s="312"/>
      <c r="D14" s="312"/>
      <c r="E14" s="312"/>
      <c r="F14" s="312"/>
      <c r="G14" s="312"/>
      <c r="H14" s="312"/>
      <c r="I14" s="312"/>
      <c r="J14" s="312"/>
      <c r="K14" s="312"/>
      <c r="N14" s="4"/>
      <c r="O14" s="4"/>
      <c r="P14" s="269"/>
      <c r="Q14" s="269"/>
      <c r="R14" s="269"/>
    </row>
    <row r="15" spans="1:22" s="2" customFormat="1" ht="12.75" customHeight="1">
      <c r="A15" s="270" t="s">
        <v>546</v>
      </c>
      <c r="C15" s="4"/>
      <c r="N15" s="4"/>
      <c r="O15" s="4"/>
      <c r="P15" s="303" t="s">
        <v>52</v>
      </c>
      <c r="Q15" s="303"/>
      <c r="R15" s="303"/>
    </row>
    <row r="16" spans="1:22" s="2" customFormat="1" ht="12.75" customHeight="1">
      <c r="A16" s="5" t="s">
        <v>9</v>
      </c>
      <c r="B16" s="2" t="s">
        <v>545</v>
      </c>
      <c r="C16" s="4"/>
      <c r="N16" s="4"/>
      <c r="O16" s="4"/>
      <c r="P16" s="4"/>
      <c r="Q16" s="4"/>
      <c r="R16" s="4"/>
    </row>
    <row r="17" spans="1:22" s="2" customFormat="1" ht="12.75" customHeight="1">
      <c r="A17" s="5"/>
      <c r="B17" s="2" t="s">
        <v>56</v>
      </c>
      <c r="C17" s="7"/>
      <c r="T17" s="113"/>
      <c r="U17" s="288"/>
    </row>
    <row r="18" spans="1:22" ht="12.75" customHeight="1">
      <c r="A18" s="6"/>
      <c r="H18" s="2" t="s">
        <v>538</v>
      </c>
      <c r="O18" s="18"/>
      <c r="P18" s="295"/>
      <c r="Q18" s="296"/>
      <c r="R18" s="296"/>
      <c r="S18" s="296"/>
      <c r="T18" s="297"/>
    </row>
    <row r="19" spans="1:22" ht="12.75" hidden="1" customHeight="1">
      <c r="A19" s="6"/>
      <c r="H19" t="s">
        <v>58</v>
      </c>
      <c r="O19" s="18"/>
      <c r="P19" s="295"/>
      <c r="Q19" s="296"/>
      <c r="R19" s="296"/>
      <c r="S19" s="296"/>
      <c r="T19" s="297"/>
    </row>
    <row r="20" spans="1:22" ht="12.75" customHeight="1">
      <c r="A20" s="6"/>
      <c r="H20" t="s">
        <v>3</v>
      </c>
      <c r="O20" s="18"/>
      <c r="P20" s="295"/>
      <c r="Q20" s="296"/>
      <c r="R20" s="296"/>
      <c r="S20" s="296"/>
      <c r="T20" s="297"/>
    </row>
    <row r="21" spans="1:22" ht="12.75" customHeight="1">
      <c r="H21" t="s">
        <v>0</v>
      </c>
      <c r="O21" s="18"/>
      <c r="P21" s="295"/>
      <c r="Q21" s="296"/>
      <c r="R21" s="296"/>
      <c r="S21" s="296"/>
      <c r="T21" s="297"/>
    </row>
    <row r="22" spans="1:22" ht="12.75" hidden="1" customHeight="1">
      <c r="O22" s="18"/>
      <c r="P22" s="304"/>
      <c r="Q22" s="296"/>
      <c r="R22" s="296"/>
      <c r="S22" s="296"/>
      <c r="T22" s="297"/>
    </row>
    <row r="23" spans="1:22" ht="12.75" customHeight="1">
      <c r="H23" t="s">
        <v>59</v>
      </c>
      <c r="O23" s="18"/>
      <c r="P23" s="295"/>
      <c r="Q23" s="296"/>
      <c r="R23" s="296"/>
      <c r="S23" s="296"/>
      <c r="T23" s="297"/>
    </row>
    <row r="24" spans="1:22" ht="12.75" customHeight="1">
      <c r="H24" t="s">
        <v>60</v>
      </c>
      <c r="O24" s="18"/>
      <c r="P24" s="295"/>
      <c r="Q24" s="296"/>
      <c r="R24" s="296"/>
      <c r="S24" s="296"/>
      <c r="T24" s="297"/>
    </row>
    <row r="25" spans="1:22" ht="12.75" customHeight="1">
      <c r="H25" t="s">
        <v>61</v>
      </c>
      <c r="O25" s="18"/>
      <c r="P25" s="305"/>
      <c r="Q25" s="306"/>
      <c r="R25" s="306"/>
      <c r="S25" s="306"/>
      <c r="T25" s="307"/>
      <c r="U25" s="289"/>
    </row>
    <row r="26" spans="1:22" ht="12.75" customHeight="1">
      <c r="H26" t="s">
        <v>1</v>
      </c>
      <c r="O26" s="18"/>
      <c r="P26" s="300"/>
      <c r="Q26" s="301"/>
      <c r="R26" s="301"/>
      <c r="S26" s="301"/>
      <c r="T26" s="302"/>
      <c r="U26" s="290"/>
    </row>
    <row r="27" spans="1:22" ht="12.75" customHeight="1">
      <c r="H27" t="s">
        <v>20</v>
      </c>
      <c r="N27" s="19"/>
      <c r="O27" s="18"/>
      <c r="P27" s="295"/>
      <c r="Q27" s="296"/>
      <c r="R27" s="296"/>
      <c r="S27" s="296"/>
      <c r="T27" s="297"/>
    </row>
    <row r="28" spans="1:22" ht="6" customHeight="1">
      <c r="P28" s="24"/>
    </row>
    <row r="29" spans="1:22" ht="15.75">
      <c r="A29" s="259"/>
      <c r="B29" s="263" t="s">
        <v>280</v>
      </c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59"/>
      <c r="V29" s="259"/>
    </row>
    <row r="30" spans="1:22">
      <c r="A30" s="11" t="s">
        <v>7</v>
      </c>
      <c r="B30" s="1" t="s">
        <v>124</v>
      </c>
    </row>
    <row r="31" spans="1:22">
      <c r="A31" s="8"/>
      <c r="B31" s="23" t="s">
        <v>29</v>
      </c>
    </row>
    <row r="32" spans="1:22">
      <c r="A32" s="8"/>
      <c r="B32" s="23" t="s">
        <v>30</v>
      </c>
    </row>
    <row r="33" spans="1:21">
      <c r="A33" s="8"/>
      <c r="B33" s="63" t="s">
        <v>125</v>
      </c>
      <c r="C33" s="61"/>
      <c r="F33" s="33" t="s">
        <v>284</v>
      </c>
      <c r="P33" s="34"/>
      <c r="Q33" s="34"/>
      <c r="R33" s="34"/>
      <c r="S33" s="34"/>
      <c r="T33" s="79"/>
      <c r="U33" s="291"/>
    </row>
    <row r="34" spans="1:21">
      <c r="A34" s="8"/>
      <c r="B34" s="63" t="s">
        <v>250</v>
      </c>
      <c r="C34" s="61"/>
      <c r="M34" s="34"/>
      <c r="N34" s="34"/>
      <c r="O34" s="34"/>
      <c r="P34" s="34"/>
      <c r="Q34" s="34"/>
      <c r="R34" s="34"/>
      <c r="S34" s="34"/>
      <c r="T34" s="79"/>
      <c r="U34" s="291"/>
    </row>
    <row r="35" spans="1:21">
      <c r="A35" s="8"/>
      <c r="B35" s="63" t="s">
        <v>252</v>
      </c>
      <c r="C35" s="61"/>
      <c r="M35" s="39"/>
      <c r="N35" s="39"/>
      <c r="O35" s="39"/>
      <c r="P35" s="38"/>
      <c r="Q35" s="38"/>
      <c r="R35" s="38"/>
      <c r="S35" s="38"/>
      <c r="T35" s="79"/>
      <c r="U35" s="291"/>
    </row>
    <row r="36" spans="1:21">
      <c r="A36" s="8"/>
      <c r="B36" s="63" t="s">
        <v>251</v>
      </c>
      <c r="L36" s="34"/>
      <c r="M36" s="34"/>
      <c r="N36" s="34"/>
      <c r="O36" s="34"/>
      <c r="P36" s="34"/>
      <c r="Q36" s="34"/>
      <c r="T36" s="79"/>
      <c r="U36" s="291"/>
    </row>
    <row r="37" spans="1:21">
      <c r="A37" s="8"/>
      <c r="B37" s="63" t="s">
        <v>283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33"/>
      <c r="Q37" s="38"/>
      <c r="R37" s="38"/>
      <c r="S37" s="38"/>
      <c r="T37" s="79"/>
      <c r="U37" s="291"/>
    </row>
    <row r="38" spans="1:21" hidden="1">
      <c r="A38" s="8"/>
      <c r="B38" s="2" t="s">
        <v>253</v>
      </c>
      <c r="C38" s="61"/>
      <c r="I38" s="39"/>
      <c r="J38" s="39"/>
      <c r="K38" s="34"/>
      <c r="L38" s="34"/>
      <c r="M38" s="34"/>
      <c r="N38" s="34"/>
      <c r="O38" s="34"/>
      <c r="P38" s="34"/>
      <c r="Q38" s="35"/>
      <c r="R38" s="109"/>
      <c r="S38" s="38"/>
      <c r="T38" s="111"/>
      <c r="U38" s="291"/>
    </row>
    <row r="39" spans="1:21">
      <c r="A39" s="8"/>
      <c r="B39" s="33" t="s">
        <v>278</v>
      </c>
      <c r="C39" s="61"/>
      <c r="M39" s="39"/>
      <c r="N39" s="39"/>
      <c r="O39" s="39"/>
      <c r="P39" s="39"/>
      <c r="Q39" s="76"/>
      <c r="R39" s="38"/>
      <c r="S39" s="38"/>
      <c r="T39" s="79"/>
      <c r="U39" s="291"/>
    </row>
    <row r="40" spans="1:21">
      <c r="A40" s="8"/>
      <c r="C40" s="1" t="s">
        <v>31</v>
      </c>
      <c r="T40" s="80">
        <f>SUM(T33:T39)</f>
        <v>0</v>
      </c>
      <c r="U40" s="80"/>
    </row>
    <row r="41" spans="1:21" ht="6" customHeight="1"/>
    <row r="42" spans="1:21">
      <c r="A42" s="57" t="s">
        <v>8</v>
      </c>
      <c r="B42" s="58" t="s">
        <v>62</v>
      </c>
      <c r="C42" s="55"/>
      <c r="D42" s="55"/>
      <c r="E42" s="55"/>
      <c r="F42" s="55"/>
      <c r="G42" s="55"/>
      <c r="H42" s="55"/>
      <c r="I42" s="55"/>
      <c r="J42" s="55"/>
      <c r="K42" s="55"/>
      <c r="L42" s="293">
        <f>Yr-2</f>
        <v>2023</v>
      </c>
      <c r="M42" s="293"/>
      <c r="N42" s="55"/>
      <c r="O42" s="55"/>
      <c r="P42" s="59"/>
      <c r="Q42" s="55"/>
      <c r="R42" s="55"/>
      <c r="S42" s="60" t="s">
        <v>2</v>
      </c>
      <c r="T42" s="78"/>
      <c r="U42" s="292"/>
    </row>
    <row r="43" spans="1:21" ht="6" customHeight="1"/>
    <row r="44" spans="1:21">
      <c r="A44" s="11" t="s">
        <v>9</v>
      </c>
      <c r="B44" s="1" t="s">
        <v>42</v>
      </c>
      <c r="J44" s="33"/>
      <c r="L44" s="45" t="s">
        <v>118</v>
      </c>
      <c r="M44" s="294">
        <f>Yr-1</f>
        <v>2024</v>
      </c>
      <c r="N44" s="294"/>
      <c r="O44" s="33" t="s">
        <v>119</v>
      </c>
      <c r="S44" s="6"/>
    </row>
    <row r="45" spans="1:21">
      <c r="A45" s="8"/>
      <c r="B45" s="1" t="s">
        <v>22</v>
      </c>
      <c r="E45" s="12"/>
      <c r="F45" s="33" t="s">
        <v>44</v>
      </c>
      <c r="H45" s="12"/>
      <c r="I45" s="12"/>
      <c r="J45" s="12"/>
      <c r="K45" s="12"/>
      <c r="L45" s="12"/>
      <c r="M45" s="12"/>
      <c r="R45" s="34"/>
      <c r="S45" s="40" t="s">
        <v>2</v>
      </c>
      <c r="T45" s="83"/>
      <c r="U45" s="17"/>
    </row>
    <row r="46" spans="1:21">
      <c r="A46" s="8"/>
      <c r="C46" s="2" t="s">
        <v>32</v>
      </c>
      <c r="J46" s="33" t="s">
        <v>239</v>
      </c>
      <c r="O46" s="12"/>
      <c r="P46" s="12"/>
      <c r="Q46" s="12"/>
      <c r="S46" s="22" t="s">
        <v>2</v>
      </c>
      <c r="T46" s="86"/>
      <c r="U46" s="9"/>
    </row>
    <row r="47" spans="1:21">
      <c r="A47" s="8"/>
      <c r="B47" s="1" t="s">
        <v>131</v>
      </c>
      <c r="G47" s="33" t="s">
        <v>45</v>
      </c>
      <c r="O47" s="12"/>
      <c r="P47" s="12"/>
      <c r="Q47" s="12"/>
      <c r="S47" s="22" t="s">
        <v>2</v>
      </c>
      <c r="T47" s="17">
        <f>T45-T46</f>
        <v>0</v>
      </c>
      <c r="U47" s="17"/>
    </row>
    <row r="48" spans="1:21">
      <c r="A48" s="8"/>
      <c r="B48" s="48" t="s">
        <v>128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7"/>
      <c r="T48" s="49"/>
      <c r="U48" s="287"/>
    </row>
    <row r="49" spans="1:21">
      <c r="A49" s="8"/>
      <c r="B49" s="1" t="s">
        <v>129</v>
      </c>
      <c r="H49" s="2"/>
      <c r="S49" s="6"/>
    </row>
    <row r="50" spans="1:21" ht="13.5">
      <c r="A50" s="8"/>
      <c r="B50" s="64" t="s">
        <v>233</v>
      </c>
      <c r="D50" s="2"/>
      <c r="E50" s="2"/>
      <c r="F50" s="2"/>
      <c r="H50" s="2"/>
      <c r="I50" s="21"/>
      <c r="J50" s="2"/>
      <c r="K50" s="2"/>
      <c r="L50" s="2"/>
      <c r="M50" s="2"/>
      <c r="N50" s="2"/>
      <c r="O50" s="2"/>
      <c r="P50" s="33"/>
      <c r="Q50" s="2"/>
      <c r="S50" s="65"/>
      <c r="T50" s="86"/>
      <c r="U50" s="9"/>
    </row>
    <row r="51" spans="1:21" ht="13.5">
      <c r="A51" s="8"/>
      <c r="B51" s="64" t="s">
        <v>285</v>
      </c>
      <c r="C51" s="21"/>
      <c r="D51" s="2"/>
      <c r="E51" s="2"/>
      <c r="F51" s="2"/>
      <c r="H51" s="70" t="s">
        <v>286</v>
      </c>
      <c r="I51" s="2"/>
      <c r="J51" s="2"/>
      <c r="K51" s="2"/>
      <c r="L51" s="2"/>
      <c r="M51" s="2"/>
      <c r="N51" s="2"/>
      <c r="O51" s="2"/>
      <c r="P51" s="2"/>
      <c r="Q51" s="2"/>
      <c r="R51" s="34"/>
      <c r="S51" s="42"/>
      <c r="T51" s="86"/>
      <c r="U51" s="9"/>
    </row>
    <row r="52" spans="1:21" ht="13.5">
      <c r="A52" s="8"/>
      <c r="B52" s="64" t="s">
        <v>287</v>
      </c>
      <c r="C52" s="21"/>
      <c r="D52" s="2"/>
      <c r="E52" s="2"/>
      <c r="F52" s="2"/>
      <c r="G52" s="2"/>
      <c r="H52" s="70" t="s">
        <v>288</v>
      </c>
      <c r="I52" s="2"/>
      <c r="J52" s="2"/>
      <c r="K52" s="2"/>
      <c r="L52" s="2"/>
      <c r="M52" s="2"/>
      <c r="N52" s="2"/>
      <c r="O52" s="2"/>
      <c r="P52" s="2"/>
      <c r="Q52" s="67"/>
      <c r="R52" s="38"/>
      <c r="S52" s="46"/>
      <c r="T52" s="86"/>
      <c r="U52" s="9"/>
    </row>
    <row r="53" spans="1:21" ht="13.5">
      <c r="A53" s="8"/>
      <c r="B53" s="2" t="s">
        <v>121</v>
      </c>
      <c r="C53" s="21"/>
      <c r="D53" s="2"/>
      <c r="E53" s="2"/>
      <c r="F53" s="2"/>
      <c r="G53" s="2"/>
      <c r="H53" s="33" t="s">
        <v>289</v>
      </c>
      <c r="I53" s="2"/>
      <c r="J53" s="2"/>
      <c r="K53" s="2"/>
      <c r="L53" s="2"/>
      <c r="M53" s="2"/>
      <c r="N53" s="2"/>
      <c r="O53" s="2"/>
      <c r="P53" s="2"/>
      <c r="Q53" s="2"/>
      <c r="S53" s="65"/>
      <c r="T53" s="86"/>
      <c r="U53" s="9"/>
    </row>
    <row r="54" spans="1:21">
      <c r="A54" s="8"/>
      <c r="C54" s="1" t="s">
        <v>130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S54" s="22" t="s">
        <v>2</v>
      </c>
      <c r="T54" s="17">
        <f>SAL+PT+GRP_INS+BENE</f>
        <v>0</v>
      </c>
      <c r="U54" s="17"/>
    </row>
    <row r="55" spans="1:21" hidden="1">
      <c r="A55" s="8"/>
      <c r="B55" s="62" t="s">
        <v>133</v>
      </c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S55" s="22"/>
      <c r="T55" s="17"/>
      <c r="U55" s="17"/>
    </row>
    <row r="56" spans="1:21" hidden="1">
      <c r="A56" s="8"/>
      <c r="B56" s="64" t="s">
        <v>135</v>
      </c>
      <c r="C56" s="1"/>
      <c r="D56" s="2"/>
      <c r="E56" s="2"/>
      <c r="F56" s="2"/>
      <c r="G56" s="2"/>
      <c r="H56" s="2"/>
      <c r="I56" s="2"/>
      <c r="J56" s="2"/>
      <c r="K56" s="2"/>
      <c r="L56" s="67"/>
      <c r="M56" s="67"/>
      <c r="N56" s="67"/>
      <c r="O56" s="67"/>
      <c r="P56" s="67"/>
      <c r="Q56" s="67"/>
      <c r="R56" s="34"/>
      <c r="S56" s="40"/>
      <c r="T56" s="105"/>
      <c r="U56" s="287"/>
    </row>
    <row r="57" spans="1:21" hidden="1">
      <c r="A57" s="8"/>
      <c r="B57" s="61" t="s">
        <v>134</v>
      </c>
      <c r="C57" s="1"/>
      <c r="D57" s="2"/>
      <c r="E57" s="2"/>
      <c r="F57" s="2"/>
      <c r="G57" s="2"/>
      <c r="H57" s="2"/>
      <c r="I57" s="2"/>
      <c r="J57" s="2"/>
      <c r="K57" s="2"/>
      <c r="L57" s="68"/>
      <c r="M57" s="68"/>
      <c r="N57" s="68"/>
      <c r="O57" s="68"/>
      <c r="P57" s="68"/>
      <c r="Q57" s="68"/>
      <c r="R57" s="38"/>
      <c r="S57" s="41"/>
      <c r="T57" s="105"/>
      <c r="U57" s="287"/>
    </row>
    <row r="58" spans="1:21" hidden="1">
      <c r="A58" s="8"/>
      <c r="B58" s="64" t="s">
        <v>136</v>
      </c>
      <c r="C58" s="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S58" s="22"/>
      <c r="T58" s="105"/>
      <c r="U58" s="287"/>
    </row>
    <row r="59" spans="1:21">
      <c r="A59" s="8"/>
      <c r="B59" s="64" t="s">
        <v>133</v>
      </c>
      <c r="C59" s="64"/>
      <c r="D59" s="2"/>
      <c r="E59" s="2"/>
      <c r="F59" s="2"/>
      <c r="G59" s="2"/>
      <c r="H59" s="2"/>
      <c r="I59" s="33" t="s">
        <v>262</v>
      </c>
      <c r="J59" s="2"/>
      <c r="K59" s="2"/>
      <c r="L59" s="2"/>
      <c r="M59" s="2"/>
      <c r="N59" s="2"/>
      <c r="O59" s="2"/>
      <c r="P59" s="2"/>
      <c r="Q59" s="2"/>
      <c r="S59" s="22"/>
      <c r="T59" s="86"/>
      <c r="U59" s="9"/>
    </row>
    <row r="60" spans="1:21" hidden="1">
      <c r="A60" s="8"/>
      <c r="B60" s="1" t="s">
        <v>137</v>
      </c>
      <c r="S60" s="6"/>
    </row>
    <row r="61" spans="1:21" hidden="1">
      <c r="A61" s="8"/>
      <c r="B61" s="2" t="s">
        <v>139</v>
      </c>
      <c r="S61" s="44" t="s">
        <v>2</v>
      </c>
      <c r="T61" s="105"/>
      <c r="U61" s="287"/>
    </row>
    <row r="62" spans="1:21" hidden="1">
      <c r="A62" s="8"/>
      <c r="B62" s="2" t="s">
        <v>140</v>
      </c>
      <c r="J62" s="33"/>
      <c r="O62" s="12"/>
      <c r="Q62" s="34"/>
      <c r="R62" s="34"/>
      <c r="S62" s="43"/>
      <c r="T62" s="105"/>
      <c r="U62" s="287"/>
    </row>
    <row r="63" spans="1:21" hidden="1">
      <c r="A63" s="8"/>
      <c r="B63" s="2" t="s">
        <v>141</v>
      </c>
      <c r="J63" s="33"/>
      <c r="O63" s="12"/>
      <c r="P63" s="34"/>
      <c r="Q63" s="34"/>
      <c r="R63" s="34"/>
      <c r="S63" s="56"/>
      <c r="T63" s="105"/>
      <c r="U63" s="287"/>
    </row>
    <row r="64" spans="1:21" hidden="1">
      <c r="A64" s="8"/>
      <c r="B64" s="2" t="s">
        <v>138</v>
      </c>
      <c r="E64" s="34"/>
      <c r="F64" s="34"/>
      <c r="G64" s="34"/>
      <c r="H64" s="34"/>
      <c r="I64" s="34"/>
      <c r="J64" s="66"/>
      <c r="K64" s="34"/>
      <c r="L64" s="34"/>
      <c r="M64" s="34"/>
      <c r="N64" s="34"/>
      <c r="O64" s="36"/>
      <c r="P64" s="34"/>
      <c r="Q64" s="34"/>
      <c r="R64" s="34"/>
      <c r="S64" s="56"/>
      <c r="T64" s="105"/>
      <c r="U64" s="287"/>
    </row>
    <row r="65" spans="1:21" hidden="1">
      <c r="A65" s="8"/>
      <c r="B65" s="2" t="s">
        <v>142</v>
      </c>
      <c r="R65" s="38"/>
      <c r="S65" s="43"/>
      <c r="T65" s="105"/>
      <c r="U65" s="287"/>
    </row>
    <row r="66" spans="1:21" hidden="1">
      <c r="A66" s="8"/>
      <c r="B66" s="2" t="s">
        <v>143</v>
      </c>
      <c r="P66" s="34"/>
      <c r="Q66" s="34"/>
      <c r="R66" s="34"/>
      <c r="S66" s="44"/>
      <c r="T66" s="105"/>
      <c r="U66" s="287"/>
    </row>
    <row r="67" spans="1:21" hidden="1">
      <c r="A67" s="8"/>
      <c r="B67" s="2" t="s">
        <v>46</v>
      </c>
      <c r="K67" s="34"/>
      <c r="L67" s="34"/>
      <c r="M67" s="34"/>
      <c r="N67" s="34"/>
      <c r="O67" s="34"/>
      <c r="P67" s="38"/>
      <c r="Q67" s="38"/>
      <c r="R67" s="38"/>
      <c r="S67" s="43"/>
      <c r="T67" s="105"/>
      <c r="U67" s="287"/>
    </row>
    <row r="68" spans="1:21">
      <c r="A68" s="8"/>
      <c r="B68" s="2" t="s">
        <v>137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S68" s="65"/>
      <c r="T68" s="86"/>
      <c r="U68" s="9"/>
    </row>
    <row r="69" spans="1:21">
      <c r="A69" s="8"/>
      <c r="C69" s="1" t="s">
        <v>132</v>
      </c>
      <c r="L69" s="33" t="s">
        <v>155</v>
      </c>
      <c r="P69" s="33"/>
      <c r="Q69" s="12"/>
      <c r="S69" s="22" t="s">
        <v>2</v>
      </c>
      <c r="T69" s="17">
        <f>PA+OC+TOE</f>
        <v>0</v>
      </c>
      <c r="U69" s="17"/>
    </row>
    <row r="70" spans="1:21">
      <c r="A70" s="8"/>
      <c r="B70" s="48" t="s">
        <v>28</v>
      </c>
      <c r="C70" s="15"/>
      <c r="D70" s="15"/>
      <c r="E70" s="15"/>
      <c r="F70" s="15"/>
      <c r="G70" s="15"/>
      <c r="H70" s="52" t="s">
        <v>154</v>
      </c>
      <c r="I70" s="15"/>
      <c r="J70" s="15"/>
      <c r="K70" s="15"/>
      <c r="L70" s="15"/>
      <c r="M70" s="15"/>
      <c r="N70" s="15"/>
      <c r="O70" s="16"/>
      <c r="P70" s="16"/>
      <c r="Q70" s="16"/>
      <c r="R70" s="15"/>
      <c r="S70" s="50" t="s">
        <v>2</v>
      </c>
      <c r="T70" s="51">
        <f>GP-TE</f>
        <v>0</v>
      </c>
      <c r="U70" s="17"/>
    </row>
    <row r="71" spans="1:21">
      <c r="A71" s="8"/>
      <c r="B71" t="s">
        <v>23</v>
      </c>
      <c r="H71" s="33" t="s">
        <v>50</v>
      </c>
      <c r="O71" s="12"/>
      <c r="P71" s="36"/>
      <c r="Q71" s="36"/>
      <c r="R71" s="34"/>
      <c r="S71" s="40"/>
      <c r="T71" s="77"/>
      <c r="U71" s="287"/>
    </row>
    <row r="72" spans="1:21">
      <c r="A72" s="8"/>
      <c r="B72" t="s">
        <v>24</v>
      </c>
      <c r="H72" s="33" t="s">
        <v>51</v>
      </c>
      <c r="O72" s="12"/>
      <c r="P72" s="37"/>
      <c r="Q72" s="37"/>
      <c r="R72" s="38"/>
      <c r="S72" s="41"/>
      <c r="T72" s="77"/>
      <c r="U72" s="287"/>
    </row>
    <row r="73" spans="1:21">
      <c r="A73" s="8"/>
      <c r="B73" t="s">
        <v>25</v>
      </c>
      <c r="L73" s="33" t="s">
        <v>279</v>
      </c>
      <c r="P73" s="38"/>
      <c r="Q73" s="38"/>
      <c r="R73" s="38"/>
      <c r="S73" s="43"/>
      <c r="T73" s="77"/>
      <c r="U73" s="287"/>
    </row>
    <row r="74" spans="1:21">
      <c r="A74" s="8"/>
      <c r="B74" s="1" t="s">
        <v>47</v>
      </c>
      <c r="I74" s="112" t="s">
        <v>49</v>
      </c>
      <c r="S74" s="22" t="s">
        <v>2</v>
      </c>
      <c r="T74" s="17">
        <f>OP+OI-Int-Oex</f>
        <v>0</v>
      </c>
      <c r="U74" s="17"/>
    </row>
    <row r="75" spans="1:21" hidden="1">
      <c r="A75" s="8"/>
      <c r="B75" t="s">
        <v>27</v>
      </c>
      <c r="G75" s="33" t="s">
        <v>26</v>
      </c>
      <c r="O75" s="12"/>
      <c r="P75" s="12"/>
      <c r="Q75" s="12"/>
      <c r="S75" s="6"/>
      <c r="T75" s="105"/>
      <c r="U75" s="287"/>
    </row>
    <row r="76" spans="1:21" hidden="1">
      <c r="A76" s="8"/>
      <c r="B76" s="48" t="s">
        <v>48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50" t="s">
        <v>2</v>
      </c>
      <c r="T76" s="51">
        <f>PBT-Tax</f>
        <v>0</v>
      </c>
      <c r="U76" s="17"/>
    </row>
    <row r="77" spans="1:21" ht="6" customHeight="1">
      <c r="A77" s="8"/>
      <c r="B77" s="1"/>
      <c r="S77" s="22"/>
      <c r="T77" s="17"/>
      <c r="U77" s="17"/>
    </row>
    <row r="78" spans="1:21">
      <c r="A78" s="11" t="s">
        <v>10</v>
      </c>
      <c r="B78" s="62" t="s">
        <v>144</v>
      </c>
      <c r="D78" s="12"/>
      <c r="E78" s="12"/>
      <c r="F78" s="12"/>
      <c r="G78" s="12"/>
      <c r="H78" s="12"/>
      <c r="I78" s="12"/>
      <c r="J78" s="12"/>
      <c r="K78" s="12"/>
      <c r="L78" s="12"/>
      <c r="M78" s="12"/>
      <c r="S78" s="33"/>
    </row>
    <row r="79" spans="1:21">
      <c r="A79" s="8"/>
      <c r="B79" s="2"/>
      <c r="N79" s="53"/>
      <c r="O79" s="32"/>
      <c r="R79" s="53" t="s">
        <v>145</v>
      </c>
      <c r="S79" s="32"/>
      <c r="T79" s="53" t="s">
        <v>32</v>
      </c>
      <c r="U79" s="53"/>
    </row>
    <row r="80" spans="1:21" hidden="1">
      <c r="A80" s="8"/>
      <c r="B80" s="61" t="s">
        <v>146</v>
      </c>
      <c r="I80" s="34"/>
      <c r="J80" s="34"/>
      <c r="K80" s="34"/>
      <c r="L80" s="34"/>
      <c r="M80" s="34"/>
      <c r="N80" s="54"/>
      <c r="O80" s="42" t="s">
        <v>2</v>
      </c>
      <c r="R80" s="106"/>
      <c r="S80" s="42" t="s">
        <v>2</v>
      </c>
      <c r="T80" s="106"/>
      <c r="U80" s="14"/>
    </row>
    <row r="81" spans="1:21" hidden="1">
      <c r="A81" s="11"/>
      <c r="B81" s="61" t="s">
        <v>147</v>
      </c>
      <c r="I81" s="38"/>
      <c r="J81" s="39"/>
      <c r="K81" s="39"/>
      <c r="L81" s="39"/>
      <c r="M81" s="39"/>
      <c r="N81" s="69"/>
      <c r="O81" s="76"/>
      <c r="R81" s="105"/>
      <c r="T81" s="105"/>
      <c r="U81" s="287"/>
    </row>
    <row r="82" spans="1:21" hidden="1">
      <c r="A82" s="8"/>
      <c r="B82" s="61" t="s">
        <v>148</v>
      </c>
      <c r="N82" s="14"/>
      <c r="O82" s="18"/>
      <c r="R82" s="105"/>
      <c r="T82" s="105"/>
      <c r="U82" s="287"/>
    </row>
    <row r="83" spans="1:21">
      <c r="A83" s="8"/>
      <c r="B83" s="2" t="s">
        <v>281</v>
      </c>
      <c r="N83" s="14"/>
      <c r="R83" s="77"/>
      <c r="T83" s="77"/>
      <c r="U83" s="33" t="s">
        <v>232</v>
      </c>
    </row>
    <row r="84" spans="1:21" hidden="1">
      <c r="A84" s="8"/>
      <c r="B84" s="61" t="s">
        <v>230</v>
      </c>
      <c r="D84" s="36"/>
      <c r="E84" s="36"/>
      <c r="F84" s="36"/>
      <c r="G84" s="36"/>
      <c r="H84" s="36"/>
      <c r="I84" s="36"/>
      <c r="J84" s="36"/>
      <c r="K84" s="12"/>
      <c r="L84" s="12"/>
      <c r="M84" s="12"/>
      <c r="N84" s="14"/>
      <c r="O84" s="18"/>
      <c r="R84" s="105"/>
      <c r="T84" s="105"/>
    </row>
    <row r="85" spans="1:21">
      <c r="A85" s="8"/>
      <c r="B85" s="64" t="s">
        <v>264</v>
      </c>
      <c r="K85" s="108"/>
      <c r="L85" s="108"/>
      <c r="M85" s="108"/>
      <c r="N85" s="108"/>
      <c r="O85" s="108"/>
      <c r="P85" s="108"/>
      <c r="Q85" s="108"/>
      <c r="R85" s="77"/>
      <c r="S85" s="71"/>
      <c r="T85" s="77"/>
      <c r="U85" s="33" t="s">
        <v>268</v>
      </c>
    </row>
    <row r="86" spans="1:21" hidden="1">
      <c r="A86" s="8"/>
      <c r="B86" s="61" t="s">
        <v>231</v>
      </c>
      <c r="M86" s="109"/>
      <c r="N86" s="109"/>
      <c r="O86" s="109"/>
      <c r="P86" s="109"/>
      <c r="Q86" s="109"/>
      <c r="R86" s="107"/>
      <c r="T86" s="107"/>
      <c r="U86" s="70" t="s">
        <v>152</v>
      </c>
    </row>
    <row r="87" spans="1:21">
      <c r="A87" s="8"/>
      <c r="B87" s="2" t="s">
        <v>263</v>
      </c>
      <c r="M87" s="109"/>
      <c r="N87" s="110"/>
      <c r="O87" s="109"/>
      <c r="P87" s="109"/>
      <c r="Q87" s="109"/>
      <c r="R87" s="88"/>
      <c r="T87" s="88"/>
      <c r="U87" s="33" t="s">
        <v>269</v>
      </c>
    </row>
    <row r="88" spans="1:21">
      <c r="A88" s="13"/>
      <c r="B88" s="61" t="s">
        <v>149</v>
      </c>
      <c r="F88" s="29"/>
      <c r="G88" s="34"/>
      <c r="H88" s="34"/>
      <c r="I88" s="34"/>
      <c r="J88" s="34"/>
      <c r="K88" s="34"/>
      <c r="L88" s="34"/>
      <c r="M88" s="109"/>
      <c r="N88" s="110"/>
      <c r="O88" s="109"/>
      <c r="P88" s="109"/>
      <c r="Q88" s="109"/>
      <c r="R88" s="72">
        <f>NS-SUM(R82:R87)</f>
        <v>0</v>
      </c>
      <c r="T88" s="72">
        <f>COGS-SUM(T82:T87)</f>
        <v>0</v>
      </c>
      <c r="U88" s="287"/>
    </row>
    <row r="89" spans="1:21">
      <c r="A89" s="13"/>
      <c r="C89" s="62" t="s">
        <v>153</v>
      </c>
      <c r="F89" s="29"/>
      <c r="N89" s="14"/>
      <c r="R89" s="14">
        <f>NS</f>
        <v>0</v>
      </c>
      <c r="T89" s="14">
        <f>COGS</f>
        <v>0</v>
      </c>
      <c r="U89" s="14"/>
    </row>
  </sheetData>
  <sheetProtection algorithmName="SHA-512" hashValue="z1+FmRXMy3e8eJHhCEmqz+97QHF4jYL5dYzkm22miZHQ5ITKj+BuoIMjR8054I13+33WyHeSDbN/98zV49jbbw==" saltValue="Cq2wud71LYivcgQf4QPsEw==" spinCount="100000" sheet="1" objects="1" scenarios="1" selectLockedCells="1"/>
  <mergeCells count="18">
    <mergeCell ref="T1:U1"/>
    <mergeCell ref="T2:U2"/>
    <mergeCell ref="B14:K14"/>
    <mergeCell ref="L42:M42"/>
    <mergeCell ref="M44:N44"/>
    <mergeCell ref="P27:T27"/>
    <mergeCell ref="K4:N4"/>
    <mergeCell ref="P23:T23"/>
    <mergeCell ref="P26:T26"/>
    <mergeCell ref="P19:T19"/>
    <mergeCell ref="M12:R12"/>
    <mergeCell ref="P15:R15"/>
    <mergeCell ref="P18:T18"/>
    <mergeCell ref="P20:T20"/>
    <mergeCell ref="P21:T21"/>
    <mergeCell ref="P22:T22"/>
    <mergeCell ref="P24:T24"/>
    <mergeCell ref="P25:T25"/>
  </mergeCells>
  <phoneticPr fontId="0" type="noConversion"/>
  <hyperlinks>
    <hyperlink ref="P15" r:id="rId1" xr:uid="{00000000-0004-0000-0000-000000000000}"/>
    <hyperlink ref="B12" r:id="rId2" xr:uid="{00000000-0004-0000-0000-000001000000}"/>
    <hyperlink ref="M12" r:id="rId3" display="john@mackayresearchgroup.com" xr:uid="{00000000-0004-0000-0000-000002000000}"/>
    <hyperlink ref="M12:R12" r:id="rId4" display="taylor@mackayresearchgroup.com" xr:uid="{00000000-0004-0000-0000-000003000000}"/>
    <hyperlink ref="B14" r:id="rId5" xr:uid="{00000000-0004-0000-0000-000004000000}"/>
  </hyperlinks>
  <pageMargins left="0.5" right="0.5" top="0.5" bottom="0.5" header="0.5" footer="0.5"/>
  <pageSetup scale="93" orientation="portrait" r:id="rId6"/>
  <headerFooter alignWithMargins="0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showGridLines="0" showRowColHeaders="0" zoomScale="90" zoomScaleNormal="85" zoomScaleSheetLayoutView="85" workbookViewId="0"/>
  </sheetViews>
  <sheetFormatPr defaultColWidth="0" defaultRowHeight="12.75"/>
  <cols>
    <col min="1" max="1" width="3.7109375" customWidth="1"/>
    <col min="2" max="6" width="10.7109375" customWidth="1"/>
    <col min="7" max="7" width="2.7109375" customWidth="1"/>
    <col min="8" max="8" width="12.7109375" customWidth="1"/>
    <col min="9" max="9" width="2.7109375" customWidth="1"/>
    <col min="10" max="10" width="12.7109375" customWidth="1"/>
    <col min="11" max="11" width="2.7109375" customWidth="1"/>
  </cols>
  <sheetData>
    <row r="1" spans="1:11" ht="18" customHeight="1">
      <c r="A1" s="15"/>
      <c r="B1" s="15"/>
      <c r="C1" s="15"/>
      <c r="D1" s="15"/>
      <c r="E1" s="31" t="s">
        <v>12</v>
      </c>
      <c r="F1" s="15"/>
      <c r="G1" s="15"/>
      <c r="H1" s="15"/>
      <c r="I1" s="15"/>
      <c r="J1" s="15"/>
      <c r="K1" s="15"/>
    </row>
    <row r="2" spans="1:11" ht="18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2.75" customHeight="1">
      <c r="B3" s="2" t="s">
        <v>21</v>
      </c>
    </row>
    <row r="4" spans="1:11" ht="12.75" customHeight="1">
      <c r="B4" t="s">
        <v>35</v>
      </c>
    </row>
    <row r="5" spans="1:11">
      <c r="B5" t="s">
        <v>34</v>
      </c>
    </row>
    <row r="6" spans="1:11">
      <c r="B6" t="s">
        <v>13</v>
      </c>
    </row>
    <row r="8" spans="1:11">
      <c r="B8" s="1" t="s">
        <v>11</v>
      </c>
    </row>
    <row r="10" spans="1:11">
      <c r="A10" s="30" t="s">
        <v>7</v>
      </c>
      <c r="B10" s="2" t="s">
        <v>36</v>
      </c>
    </row>
    <row r="11" spans="1:11">
      <c r="A11" s="30"/>
      <c r="B11" s="2" t="s">
        <v>123</v>
      </c>
    </row>
    <row r="12" spans="1:11">
      <c r="A12" s="30"/>
      <c r="B12" s="2" t="s">
        <v>37</v>
      </c>
    </row>
    <row r="13" spans="1:11">
      <c r="A13" s="30"/>
      <c r="B13" s="2" t="s">
        <v>38</v>
      </c>
    </row>
    <row r="14" spans="1:11">
      <c r="A14" s="30"/>
    </row>
    <row r="15" spans="1:11">
      <c r="A15" s="30" t="s">
        <v>8</v>
      </c>
      <c r="B15" s="2" t="s">
        <v>16</v>
      </c>
    </row>
    <row r="16" spans="1:11">
      <c r="A16" s="30"/>
      <c r="B16" s="2" t="s">
        <v>55</v>
      </c>
    </row>
    <row r="17" spans="1:2">
      <c r="A17" s="30"/>
      <c r="B17" s="2" t="s">
        <v>54</v>
      </c>
    </row>
    <row r="18" spans="1:2">
      <c r="A18" s="30"/>
    </row>
    <row r="19" spans="1:2">
      <c r="A19" s="30" t="s">
        <v>9</v>
      </c>
      <c r="B19" s="2" t="s">
        <v>14</v>
      </c>
    </row>
    <row r="20" spans="1:2">
      <c r="A20" s="30"/>
      <c r="B20" s="2" t="s">
        <v>15</v>
      </c>
    </row>
    <row r="22" spans="1:2">
      <c r="B22" s="2" t="s">
        <v>39</v>
      </c>
    </row>
    <row r="23" spans="1:2">
      <c r="B23" s="2" t="s">
        <v>17</v>
      </c>
    </row>
    <row r="24" spans="1:2">
      <c r="B24" s="2" t="s">
        <v>18</v>
      </c>
    </row>
    <row r="25" spans="1:2">
      <c r="B25" s="2" t="s">
        <v>40</v>
      </c>
    </row>
    <row r="26" spans="1:2">
      <c r="B26" s="2" t="s">
        <v>41</v>
      </c>
    </row>
  </sheetData>
  <sheetProtection password="CF42" sheet="1" objects="1" scenarios="1" selectLockedCells="1"/>
  <phoneticPr fontId="0" type="noConversion"/>
  <pageMargins left="0.5" right="0.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25"/>
  <sheetViews>
    <sheetView zoomScaleNormal="100" zoomScaleSheetLayoutView="75" workbookViewId="0">
      <selection activeCell="B1" sqref="B1"/>
    </sheetView>
  </sheetViews>
  <sheetFormatPr defaultRowHeight="15"/>
  <cols>
    <col min="1" max="1" width="13.5703125" customWidth="1"/>
    <col min="2" max="2" width="12.7109375" customWidth="1"/>
    <col min="3" max="3" width="6" customWidth="1"/>
    <col min="4" max="4" width="5.42578125" style="28" customWidth="1"/>
    <col min="5" max="8" width="9.140625" style="28" customWidth="1"/>
    <col min="12" max="12" width="5.7109375" bestFit="1" customWidth="1"/>
    <col min="13" max="13" width="8.140625" bestFit="1" customWidth="1"/>
    <col min="14" max="14" width="13.42578125" bestFit="1" customWidth="1"/>
  </cols>
  <sheetData>
    <row r="1" spans="1:14" ht="12.75" customHeight="1">
      <c r="A1" s="231" t="s">
        <v>63</v>
      </c>
      <c r="B1" s="114">
        <f>Yr</f>
        <v>2025</v>
      </c>
      <c r="C1" s="266" t="s">
        <v>117</v>
      </c>
      <c r="D1" s="266" t="s">
        <v>539</v>
      </c>
      <c r="E1" s="265" t="s">
        <v>3</v>
      </c>
      <c r="F1" s="265" t="s">
        <v>540</v>
      </c>
      <c r="G1" s="265" t="s">
        <v>541</v>
      </c>
      <c r="H1" s="265" t="s">
        <v>542</v>
      </c>
      <c r="I1" s="265" t="s">
        <v>543</v>
      </c>
      <c r="J1" s="265" t="s">
        <v>544</v>
      </c>
      <c r="K1" s="265" t="s">
        <v>59</v>
      </c>
      <c r="L1" s="265" t="s">
        <v>60</v>
      </c>
      <c r="M1" s="267" t="s">
        <v>66</v>
      </c>
      <c r="N1" s="268" t="s">
        <v>67</v>
      </c>
    </row>
    <row r="2" spans="1:14" ht="12.75" customHeight="1">
      <c r="A2" s="208" t="s">
        <v>234</v>
      </c>
      <c r="B2" s="115" t="s">
        <v>282</v>
      </c>
      <c r="C2" s="2" t="str">
        <f>IF(ISBLANK(ID),"b",ID)</f>
        <v>b</v>
      </c>
      <c r="D2" s="4" t="s">
        <v>282</v>
      </c>
      <c r="E2" s="2" t="str">
        <f>IF(ISBLANK(Name),"b",Name)</f>
        <v>b</v>
      </c>
      <c r="F2" s="2" t="str">
        <f>IF(ISBLANK(Person),"b",Person)</f>
        <v>b</v>
      </c>
      <c r="G2" s="2" t="str">
        <f>IF(ISBLANK(eaddr),"b",eaddr)</f>
        <v>b</v>
      </c>
      <c r="J2" s="2" t="str">
        <f>IF(ISBLANK(Addr1),"b",Addr1)</f>
        <v>b</v>
      </c>
      <c r="K2" s="2" t="str">
        <f>IF(ISBLANK(City),"b",City)</f>
        <v>b</v>
      </c>
      <c r="L2" s="2" t="str">
        <f>IF(ISBLANK(State),"b",State)</f>
        <v>b</v>
      </c>
      <c r="M2" s="116" t="str">
        <f>IF(ISBLANK(Zipcode),"b",Zipcode)</f>
        <v>b</v>
      </c>
      <c r="N2" s="264" t="str">
        <f>IF(ISBLANK(Phone),"b",Phone)</f>
        <v>b</v>
      </c>
    </row>
    <row r="3" spans="1:14" ht="16.5">
      <c r="A3" s="232" t="s">
        <v>117</v>
      </c>
      <c r="B3" s="2" t="str">
        <f>IF(ISBLANK(ID),"b",ID)</f>
        <v>b</v>
      </c>
      <c r="C3" s="73"/>
      <c r="D3" s="1"/>
    </row>
    <row r="4" spans="1:14" ht="12.75" customHeight="1">
      <c r="A4" s="210" t="s">
        <v>57</v>
      </c>
      <c r="B4" s="136" t="s">
        <v>244</v>
      </c>
      <c r="C4" s="1" t="s">
        <v>535</v>
      </c>
    </row>
    <row r="5" spans="1:14" ht="12.75" customHeight="1">
      <c r="A5" s="210" t="s">
        <v>58</v>
      </c>
      <c r="B5" s="136" t="s">
        <v>244</v>
      </c>
      <c r="C5" s="2"/>
    </row>
    <row r="6" spans="1:14" ht="12.75" customHeight="1">
      <c r="A6" s="210" t="s">
        <v>3</v>
      </c>
      <c r="B6" s="136" t="s">
        <v>244</v>
      </c>
      <c r="C6" s="2"/>
    </row>
    <row r="7" spans="1:14" ht="12.75" customHeight="1">
      <c r="A7" s="210" t="s">
        <v>64</v>
      </c>
      <c r="B7" s="136" t="s">
        <v>244</v>
      </c>
      <c r="C7" s="2"/>
    </row>
    <row r="8" spans="1:14" ht="12.75" customHeight="1">
      <c r="A8" s="210" t="s">
        <v>65</v>
      </c>
      <c r="B8" s="136" t="s">
        <v>244</v>
      </c>
      <c r="C8" s="2"/>
      <c r="D8"/>
    </row>
    <row r="9" spans="1:14" ht="12.75" customHeight="1">
      <c r="A9" s="210" t="s">
        <v>59</v>
      </c>
      <c r="B9" s="136" t="s">
        <v>244</v>
      </c>
      <c r="C9" s="2"/>
      <c r="D9"/>
    </row>
    <row r="10" spans="1:14" ht="12.75" customHeight="1">
      <c r="A10" s="210" t="s">
        <v>60</v>
      </c>
      <c r="B10" s="136" t="s">
        <v>244</v>
      </c>
      <c r="C10" s="2"/>
      <c r="D10"/>
    </row>
    <row r="11" spans="1:14" ht="12.75" customHeight="1">
      <c r="A11" s="208" t="s">
        <v>66</v>
      </c>
      <c r="B11" s="116" t="str">
        <f>IF(ISBLANK(Zipcode),"b",Zipcode)</f>
        <v>b</v>
      </c>
      <c r="C11" s="2"/>
      <c r="D11"/>
    </row>
    <row r="12" spans="1:14" ht="12.75" customHeight="1">
      <c r="A12" s="210" t="s">
        <v>67</v>
      </c>
      <c r="B12" s="136" t="s">
        <v>244</v>
      </c>
      <c r="C12" s="2"/>
      <c r="D12"/>
    </row>
    <row r="13" spans="1:14" ht="12.75" customHeight="1">
      <c r="A13" s="210" t="s">
        <v>19</v>
      </c>
      <c r="B13" s="136" t="s">
        <v>244</v>
      </c>
      <c r="C13" s="2"/>
      <c r="D13"/>
    </row>
    <row r="14" spans="1:14" ht="12.75" customHeight="1">
      <c r="A14" s="210" t="s">
        <v>68</v>
      </c>
      <c r="B14" s="136" t="s">
        <v>244</v>
      </c>
      <c r="C14" s="2"/>
      <c r="D14"/>
    </row>
    <row r="15" spans="1:14" ht="12.75" customHeight="1">
      <c r="A15" s="208" t="s">
        <v>69</v>
      </c>
      <c r="B15" s="2" t="str">
        <f>IF(Org="","b",IF(ISBLANK(Org),"b",Org))</f>
        <v>b</v>
      </c>
      <c r="C15" s="2"/>
      <c r="D15"/>
    </row>
    <row r="16" spans="1:14" ht="12.75" customHeight="1">
      <c r="A16" s="208" t="s">
        <v>168</v>
      </c>
      <c r="B16" s="197" t="s">
        <v>295</v>
      </c>
      <c r="C16" s="2"/>
      <c r="D16"/>
    </row>
    <row r="17" spans="1:5" ht="12.75" customHeight="1">
      <c r="A17" s="208" t="s">
        <v>169</v>
      </c>
      <c r="B17" s="197" t="s">
        <v>295</v>
      </c>
      <c r="C17" s="2"/>
      <c r="D17"/>
    </row>
    <row r="18" spans="1:5" ht="12.75" customHeight="1">
      <c r="A18" s="208" t="s">
        <v>170</v>
      </c>
      <c r="B18" s="197" t="s">
        <v>295</v>
      </c>
      <c r="C18" s="2"/>
      <c r="D18"/>
    </row>
    <row r="19" spans="1:5" ht="12.75" customHeight="1">
      <c r="A19" s="231" t="s">
        <v>160</v>
      </c>
      <c r="B19" s="117" t="str">
        <f>IF(ISBLANK(EMP_Exec),"b",EMP_Exec)</f>
        <v>b</v>
      </c>
      <c r="C19" s="2"/>
      <c r="D19"/>
    </row>
    <row r="20" spans="1:5" ht="12.75" customHeight="1">
      <c r="A20" s="231" t="s">
        <v>270</v>
      </c>
      <c r="B20" s="117" t="str">
        <f>IF(ISBLANK(EMP_Out),"b",EMP_Out)</f>
        <v>b</v>
      </c>
      <c r="C20" s="2"/>
      <c r="D20"/>
    </row>
    <row r="21" spans="1:5" ht="12.75" customHeight="1">
      <c r="A21" s="231" t="s">
        <v>271</v>
      </c>
      <c r="B21" s="117" t="str">
        <f>IF(ISBLANK(EMP_Inside),"b",EMP_Inside)</f>
        <v>b</v>
      </c>
      <c r="C21" s="2"/>
      <c r="D21"/>
    </row>
    <row r="22" spans="1:5" ht="12.75" customHeight="1">
      <c r="A22" s="231" t="s">
        <v>255</v>
      </c>
      <c r="B22" s="118" t="str">
        <f>IF(ISBLANK(EMP_PM),"b",EMP_PM)</f>
        <v>b</v>
      </c>
      <c r="D22"/>
    </row>
    <row r="23" spans="1:5" ht="12.75" customHeight="1">
      <c r="A23" s="208" t="s">
        <v>272</v>
      </c>
      <c r="B23" s="117" t="str">
        <f>IF(ISBLANK(EMP_Rental),"b",EMP_Rental)</f>
        <v>b</v>
      </c>
      <c r="C23" s="2"/>
      <c r="D23"/>
    </row>
    <row r="24" spans="1:5" ht="12.75" customHeight="1">
      <c r="A24" s="250" t="s">
        <v>536</v>
      </c>
      <c r="B24" s="206" t="str">
        <f>IF(Emp&gt;0,(EMP_WHS+Oemp),"b")</f>
        <v>b</v>
      </c>
      <c r="C24" s="256" t="s">
        <v>537</v>
      </c>
      <c r="D24"/>
    </row>
    <row r="25" spans="1:5" ht="12.75" customHeight="1">
      <c r="A25" s="231" t="s">
        <v>273</v>
      </c>
      <c r="B25" s="117" t="str">
        <f>IF(ISBLANK(EMP_Tech),"b",EMP_Tech)</f>
        <v>b</v>
      </c>
      <c r="C25" s="2"/>
      <c r="D25"/>
    </row>
    <row r="26" spans="1:5" ht="12.75" customHeight="1">
      <c r="A26" s="208" t="s">
        <v>274</v>
      </c>
      <c r="B26" s="117" t="str">
        <f>IF(ISBLANK(EMP_SVC),"b",EMP_SVC)</f>
        <v>b</v>
      </c>
      <c r="C26" s="2"/>
      <c r="D26"/>
    </row>
    <row r="27" spans="1:5" ht="12.75" customHeight="1">
      <c r="A27" s="208" t="s">
        <v>254</v>
      </c>
      <c r="B27" s="117" t="str">
        <f>IF(ISBLANK(EMP_WHS),"b",EMP_WHS)</f>
        <v>b</v>
      </c>
      <c r="C27" s="2"/>
      <c r="D27" s="25"/>
    </row>
    <row r="28" spans="1:5" ht="12.75" customHeight="1">
      <c r="A28" s="231" t="s">
        <v>70</v>
      </c>
      <c r="B28" s="81" t="str">
        <f>IF(Emp&gt;0,Oemp,"b")</f>
        <v>b</v>
      </c>
      <c r="C28" s="1"/>
    </row>
    <row r="29" spans="1:5" ht="12.75" customHeight="1">
      <c r="A29" s="233" t="s">
        <v>71</v>
      </c>
      <c r="B29" s="119" t="str">
        <f>IF(Emp&gt;0,Emp,"b")</f>
        <v>b</v>
      </c>
      <c r="C29" s="2"/>
    </row>
    <row r="30" spans="1:5" ht="12.75" customHeight="1">
      <c r="A30" s="208" t="s">
        <v>275</v>
      </c>
      <c r="B30" s="104" t="str">
        <f>IF(ISBLANK(PA_Exec),"b",PA_Exec)</f>
        <v>b</v>
      </c>
      <c r="C30" s="2"/>
    </row>
    <row r="31" spans="1:5" ht="12.75" customHeight="1">
      <c r="A31" s="208" t="s">
        <v>276</v>
      </c>
      <c r="B31" s="104" t="str">
        <f>IF(ISBLANK(PA_Out),"b",PA_Out)</f>
        <v>b</v>
      </c>
      <c r="C31" s="2"/>
    </row>
    <row r="32" spans="1:5" ht="12.75" customHeight="1">
      <c r="A32" s="208" t="s">
        <v>277</v>
      </c>
      <c r="B32" s="104" t="str">
        <f>IF(ISBLANK(PA_Inside),"b",PA_Inside)</f>
        <v>b</v>
      </c>
      <c r="C32" s="2"/>
      <c r="D32" s="2"/>
      <c r="E32" s="104"/>
    </row>
    <row r="33" spans="1:3" ht="12.75" customHeight="1">
      <c r="A33" s="211" t="s">
        <v>256</v>
      </c>
      <c r="B33" s="120" t="str">
        <f>IF(ISBLANK(PA_PM),"b",PA_PM)</f>
        <v>b</v>
      </c>
      <c r="C33" s="2"/>
    </row>
    <row r="34" spans="1:3" ht="12.75" customHeight="1">
      <c r="A34" s="208" t="s">
        <v>218</v>
      </c>
      <c r="B34" s="197" t="s">
        <v>295</v>
      </c>
      <c r="C34" s="2"/>
    </row>
    <row r="35" spans="1:3" ht="12.75" customHeight="1">
      <c r="A35" s="208" t="s">
        <v>216</v>
      </c>
      <c r="B35" s="197" t="s">
        <v>295</v>
      </c>
      <c r="C35" s="2"/>
    </row>
    <row r="36" spans="1:3" ht="12.75" customHeight="1">
      <c r="A36" s="208" t="s">
        <v>236</v>
      </c>
      <c r="B36" s="104" t="str">
        <f>IF(ISBLANK(PA_Tech),"b",PA_Tech)</f>
        <v>b</v>
      </c>
      <c r="C36" s="2"/>
    </row>
    <row r="37" spans="1:3" ht="12.75" customHeight="1">
      <c r="A37" s="208" t="s">
        <v>237</v>
      </c>
      <c r="B37" s="104" t="str">
        <f>IF(ISBLANK(PA_SVC),"b",PA_SVC)</f>
        <v>b</v>
      </c>
      <c r="C37" s="2"/>
    </row>
    <row r="38" spans="1:3" ht="12.75" customHeight="1">
      <c r="A38" s="208" t="s">
        <v>261</v>
      </c>
      <c r="B38" s="104" t="str">
        <f>IF(ISBLANK(PA_WHS),"b",PA_WHS)</f>
        <v>b</v>
      </c>
      <c r="C38" s="2"/>
    </row>
    <row r="39" spans="1:3" ht="12.75" customHeight="1">
      <c r="A39" s="208" t="s">
        <v>257</v>
      </c>
      <c r="B39" s="121" t="str">
        <f>IF(SAL_TOT&gt;0,PA_OTH,"b")</f>
        <v>b</v>
      </c>
      <c r="C39" s="2"/>
    </row>
    <row r="40" spans="1:3" ht="12.75" customHeight="1">
      <c r="A40" s="208" t="s">
        <v>238</v>
      </c>
      <c r="B40" s="122" t="str">
        <f>IF(SAL_TOT&gt;0,SAL_TOT,"b")</f>
        <v>b</v>
      </c>
      <c r="C40" s="2"/>
    </row>
    <row r="41" spans="1:3" ht="12.75" customHeight="1">
      <c r="A41" s="208" t="s">
        <v>297</v>
      </c>
      <c r="B41" s="117" t="str">
        <f>IF(ISBLANK(TechApplied),"b",TechApplied)</f>
        <v>b</v>
      </c>
      <c r="C41" s="2"/>
    </row>
    <row r="42" spans="1:3" ht="12.75" customHeight="1">
      <c r="A42" s="208" t="s">
        <v>298</v>
      </c>
      <c r="B42" s="117" t="str">
        <f>IF(ISBLANK(TechBilled),"b",TechBilled)</f>
        <v>b</v>
      </c>
      <c r="C42" s="2"/>
    </row>
    <row r="43" spans="1:3" ht="12.75" customHeight="1">
      <c r="A43" s="208" t="s">
        <v>299</v>
      </c>
      <c r="B43" s="197" t="s">
        <v>295</v>
      </c>
      <c r="C43" s="2"/>
    </row>
    <row r="44" spans="1:3" ht="12.75" customHeight="1">
      <c r="A44" s="208" t="s">
        <v>161</v>
      </c>
      <c r="B44" s="117" t="str">
        <f>IF(ISBLANK(SvcCalls),"b",SvcCalls)</f>
        <v>b</v>
      </c>
      <c r="C44" s="2"/>
    </row>
    <row r="45" spans="1:3" ht="12.75" customHeight="1">
      <c r="A45" s="208" t="s">
        <v>162</v>
      </c>
      <c r="B45" s="104" t="str">
        <f>IF(ISBLANK(SvcVeh_),"b",SvcVeh_)</f>
        <v>b</v>
      </c>
      <c r="C45" s="2"/>
    </row>
    <row r="46" spans="1:3" ht="12.75" customHeight="1">
      <c r="A46" s="208" t="s">
        <v>163</v>
      </c>
      <c r="B46" s="104" t="str">
        <f>IF(ISBLANK(SvcRecover),"b",SvcRecover)</f>
        <v>b</v>
      </c>
      <c r="C46" s="2"/>
    </row>
    <row r="47" spans="1:3" ht="12.75" customHeight="1">
      <c r="A47" s="208" t="s">
        <v>164</v>
      </c>
      <c r="B47" s="117" t="str">
        <f>IF(ISBLANK(SvcJobs),"b",SvcJobs)</f>
        <v>b</v>
      </c>
      <c r="C47" s="2"/>
    </row>
    <row r="48" spans="1:3" ht="12.75" customHeight="1">
      <c r="A48" s="208" t="s">
        <v>165</v>
      </c>
      <c r="B48" s="117" t="str">
        <f>IF(ISBLANK(STunits),"b",STunits)</f>
        <v>b</v>
      </c>
      <c r="C48" s="2"/>
    </row>
    <row r="49" spans="1:3" ht="12.75" customHeight="1">
      <c r="A49" s="208" t="s">
        <v>166</v>
      </c>
      <c r="B49" s="104" t="str">
        <f>IF(ISBLANK(STvalue),"b",STvalue)</f>
        <v>b</v>
      </c>
      <c r="C49" s="2"/>
    </row>
    <row r="50" spans="1:3" ht="12.75" customHeight="1">
      <c r="A50" s="208" t="s">
        <v>167</v>
      </c>
      <c r="B50" s="117" t="str">
        <f>IF(ISBLANK(STutil),"b",STutil)</f>
        <v>b</v>
      </c>
    </row>
    <row r="51" spans="1:3" ht="12.75" customHeight="1">
      <c r="A51" s="211" t="s">
        <v>258</v>
      </c>
      <c r="B51" s="118" t="str">
        <f>IF(ISBLANK(DownPmt),"b",DownPmt)</f>
        <v>b</v>
      </c>
    </row>
    <row r="52" spans="1:3" ht="12.75" customHeight="1">
      <c r="A52" s="211" t="s">
        <v>259</v>
      </c>
      <c r="B52" s="118" t="str">
        <f>IF(ISBLANK(FinalPmt),"b",FinalPmt)</f>
        <v>b</v>
      </c>
    </row>
    <row r="53" spans="1:3" ht="12.75" customHeight="1">
      <c r="A53" s="211" t="s">
        <v>260</v>
      </c>
      <c r="B53" s="118" t="str">
        <f>IF(ISBLANK(STOCK),"b",STOCK)</f>
        <v>b</v>
      </c>
    </row>
    <row r="54" spans="1:3" ht="12.75" customHeight="1">
      <c r="A54" s="210"/>
      <c r="B54" s="82"/>
    </row>
    <row r="55" spans="1:3" ht="12.75" customHeight="1">
      <c r="A55" s="210"/>
      <c r="B55" s="82"/>
    </row>
    <row r="56" spans="1:3" ht="12.75" customHeight="1">
      <c r="A56" s="210"/>
      <c r="B56" s="82"/>
    </row>
    <row r="57" spans="1:3" ht="12.75" customHeight="1">
      <c r="A57" s="210"/>
      <c r="B57" s="82"/>
    </row>
    <row r="58" spans="1:3" ht="12.75" customHeight="1">
      <c r="A58" s="210"/>
      <c r="B58" s="82"/>
    </row>
    <row r="59" spans="1:3" ht="12.75" customHeight="1">
      <c r="A59" s="210"/>
      <c r="B59" s="82"/>
    </row>
    <row r="60" spans="1:3" ht="12.75" customHeight="1">
      <c r="A60" s="234" t="s">
        <v>240</v>
      </c>
      <c r="B60" s="87"/>
      <c r="C60" s="1"/>
    </row>
    <row r="61" spans="1:3" ht="12.75" customHeight="1">
      <c r="A61" s="208" t="s">
        <v>73</v>
      </c>
      <c r="B61" s="123" t="str">
        <f>IF(ISBLANK(AAR),IF(AR&gt;0,AR,"b"),AAR)</f>
        <v>AAR</v>
      </c>
      <c r="C61" s="2"/>
    </row>
    <row r="62" spans="1:3" ht="12.75" customHeight="1">
      <c r="A62" s="208" t="s">
        <v>74</v>
      </c>
      <c r="B62" s="124" t="str">
        <f>IF(ISBLANK(AVG),IF(Inv&lt;&gt;0,Inv,"b"),AVG)</f>
        <v>AVG</v>
      </c>
      <c r="C62" s="2"/>
    </row>
    <row r="63" spans="1:3" ht="12.75" customHeight="1">
      <c r="A63" s="208" t="s">
        <v>171</v>
      </c>
      <c r="B63" s="125" t="str">
        <f>IF(ISBLANK(AAP),IF(AP&gt;0,AP,"b"),AAP)</f>
        <v>AAP</v>
      </c>
      <c r="C63" s="2"/>
    </row>
    <row r="64" spans="1:3" ht="12.75" customHeight="1">
      <c r="A64" s="208" t="s">
        <v>172</v>
      </c>
      <c r="B64" s="117" t="str">
        <f>IF(ISBLANK(AgeNew),"b",AgeNew)</f>
        <v>AgeNew</v>
      </c>
      <c r="C64" s="2"/>
    </row>
    <row r="65" spans="1:4" ht="12.75" customHeight="1">
      <c r="A65" s="208" t="s">
        <v>173</v>
      </c>
      <c r="B65" s="117" t="str">
        <f>IF(ISBLANK(AgeUsed),"b",AgeUsed)</f>
        <v>AgeUsed</v>
      </c>
      <c r="C65" s="2"/>
    </row>
    <row r="66" spans="1:4" ht="12.75" customHeight="1">
      <c r="A66" s="208" t="s">
        <v>174</v>
      </c>
      <c r="B66" s="117" t="str">
        <f>IF(ISBLANK(AgeParts),"b",AgeParts)</f>
        <v>AgeParts</v>
      </c>
      <c r="C66" s="2"/>
    </row>
    <row r="67" spans="1:4" ht="12.75" customHeight="1">
      <c r="A67" s="208" t="s">
        <v>175</v>
      </c>
      <c r="B67" s="82" t="str">
        <f>IF(ISBLANK(AgeSH),"b",AgeSH)</f>
        <v>AgeSH</v>
      </c>
      <c r="C67" s="2"/>
    </row>
    <row r="68" spans="1:4" ht="12.75" customHeight="1">
      <c r="A68" s="208" t="s">
        <v>75</v>
      </c>
      <c r="B68" s="126">
        <f>IF(OR(LIFO="y",LIFO="yes"),1,0)</f>
        <v>0</v>
      </c>
      <c r="C68" s="2"/>
      <c r="D68" s="26"/>
    </row>
    <row r="69" spans="1:4" ht="12.75" customHeight="1">
      <c r="A69" s="208" t="s">
        <v>76</v>
      </c>
      <c r="B69" s="127">
        <v>0</v>
      </c>
      <c r="C69" s="2"/>
      <c r="D69" s="27"/>
    </row>
    <row r="70" spans="1:4" ht="12.75" customHeight="1">
      <c r="A70" s="208" t="s">
        <v>77</v>
      </c>
      <c r="B70" s="127" t="str">
        <f>IF(ISBLANK(End),0,(End))</f>
        <v>END</v>
      </c>
      <c r="C70" s="2"/>
      <c r="D70" s="27"/>
    </row>
    <row r="71" spans="1:4" ht="12.75" customHeight="1">
      <c r="A71" s="208" t="s">
        <v>80</v>
      </c>
      <c r="B71" s="9" t="str">
        <f>IF(ISBLANK(Cash),"b",Cash)</f>
        <v>CASH</v>
      </c>
      <c r="C71" s="2"/>
    </row>
    <row r="72" spans="1:4" ht="12.75" customHeight="1">
      <c r="A72" s="208" t="s">
        <v>81</v>
      </c>
      <c r="B72" s="9" t="str">
        <f>IF(ISBLANK(AR),"b",AR)</f>
        <v>AR</v>
      </c>
      <c r="C72" s="2"/>
    </row>
    <row r="73" spans="1:4" ht="12.75" customHeight="1">
      <c r="A73" s="208" t="s">
        <v>176</v>
      </c>
      <c r="B73" s="9" t="str">
        <f>IF(ISBLANK(NEWINV),"b",NEWINV)</f>
        <v>NEWINV</v>
      </c>
      <c r="C73" s="2"/>
    </row>
    <row r="74" spans="1:4" ht="12.75" customHeight="1">
      <c r="A74" s="208" t="s">
        <v>177</v>
      </c>
      <c r="B74" s="9" t="str">
        <f>IF(ISBLANK(USEDINV),"b",USEDINV)</f>
        <v>USEDINV</v>
      </c>
      <c r="C74" s="2"/>
    </row>
    <row r="75" spans="1:4" ht="12.75" customHeight="1">
      <c r="A75" s="208" t="s">
        <v>178</v>
      </c>
      <c r="B75" s="9" t="str">
        <f>IF(ISBLANK(PARTSINV),"b",PARTSINV)</f>
        <v>PARTSINV</v>
      </c>
      <c r="C75" s="2"/>
    </row>
    <row r="76" spans="1:4" ht="12.75" customHeight="1">
      <c r="A76" s="208" t="s">
        <v>179</v>
      </c>
      <c r="B76" s="128" t="str">
        <f>IF(ISBLANK(OINV),"b",OINV)</f>
        <v>OINV</v>
      </c>
      <c r="C76" s="2"/>
    </row>
    <row r="77" spans="1:4" ht="12.75" customHeight="1">
      <c r="A77" s="208" t="s">
        <v>82</v>
      </c>
      <c r="B77" s="9" t="str">
        <f>IF(Inv&gt;0,Inv,"b")</f>
        <v>INV</v>
      </c>
      <c r="C77" s="2"/>
    </row>
    <row r="78" spans="1:4" ht="12.75" customHeight="1">
      <c r="A78" s="208" t="s">
        <v>83</v>
      </c>
      <c r="B78" s="129" t="str">
        <f>IF((CA&gt;0),(Oca),"b")</f>
        <v>OCA</v>
      </c>
      <c r="C78" s="2"/>
    </row>
    <row r="79" spans="1:4" ht="12.75" customHeight="1">
      <c r="A79" s="207" t="s">
        <v>79</v>
      </c>
      <c r="B79" s="17" t="str">
        <f>IF(CA&lt;&gt;0,CA,"b")</f>
        <v>CA</v>
      </c>
      <c r="C79" s="1"/>
    </row>
    <row r="80" spans="1:4" ht="12.75" customHeight="1">
      <c r="A80" s="208" t="s">
        <v>242</v>
      </c>
      <c r="B80" s="84" t="s">
        <v>244</v>
      </c>
      <c r="C80" s="2"/>
    </row>
    <row r="81" spans="1:3" ht="12.75" customHeight="1">
      <c r="A81" s="208" t="s">
        <v>243</v>
      </c>
      <c r="B81" s="84" t="s">
        <v>244</v>
      </c>
      <c r="C81" s="2"/>
    </row>
    <row r="82" spans="1:3" ht="12.75" customHeight="1">
      <c r="A82" s="208" t="s">
        <v>84</v>
      </c>
      <c r="B82" s="9" t="str">
        <f>IF(Fixed&lt;&gt;0,Fixed,"b")</f>
        <v>FIXED</v>
      </c>
      <c r="C82" s="2"/>
    </row>
    <row r="83" spans="1:3" ht="12.75" customHeight="1">
      <c r="A83" s="208" t="s">
        <v>85</v>
      </c>
      <c r="B83" s="129" t="str">
        <f>IF((TA&gt;0),(OFA),"b")</f>
        <v>OFA</v>
      </c>
      <c r="C83" s="2"/>
    </row>
    <row r="84" spans="1:3" ht="12.75" customHeight="1">
      <c r="A84" s="207" t="s">
        <v>78</v>
      </c>
      <c r="B84" s="17" t="str">
        <f>IF(TA&lt;&gt;0,TA,"b")</f>
        <v>TA</v>
      </c>
      <c r="C84" s="1"/>
    </row>
    <row r="85" spans="1:3" ht="12.75" customHeight="1">
      <c r="A85" s="208" t="s">
        <v>87</v>
      </c>
      <c r="B85" s="9" t="str">
        <f>IF(ISBLANK(AP),"b",AP)</f>
        <v>AP</v>
      </c>
      <c r="C85" s="2"/>
    </row>
    <row r="86" spans="1:3" ht="12.75" customHeight="1">
      <c r="A86" s="208" t="s">
        <v>88</v>
      </c>
      <c r="B86" s="9" t="str">
        <f>IF(ISBLANK(NP),"b",NP)</f>
        <v>NP</v>
      </c>
      <c r="C86" s="2"/>
    </row>
    <row r="87" spans="1:3" ht="12.75" customHeight="1">
      <c r="A87" s="208" t="s">
        <v>89</v>
      </c>
      <c r="B87" s="129" t="str">
        <f>IF((CL&gt;0),(Ocl),"b")</f>
        <v>OCL</v>
      </c>
      <c r="C87" s="2"/>
    </row>
    <row r="88" spans="1:3" ht="12.75" customHeight="1">
      <c r="A88" s="207" t="s">
        <v>86</v>
      </c>
      <c r="B88" s="17" t="str">
        <f>IF(CL&gt;0,CL,"b")</f>
        <v>CL</v>
      </c>
      <c r="C88" s="1"/>
    </row>
    <row r="89" spans="1:3" ht="12.75" customHeight="1">
      <c r="A89" s="208" t="s">
        <v>90</v>
      </c>
      <c r="B89" s="9" t="str">
        <f>IF(ISBLANK(LTL),"b",LTL)</f>
        <v>LTL</v>
      </c>
      <c r="C89" s="2"/>
    </row>
    <row r="90" spans="1:3" ht="12.75" customHeight="1">
      <c r="A90" s="208" t="s">
        <v>91</v>
      </c>
      <c r="B90" s="129" t="str">
        <f>IF(ISBLANK(Loan),0,(Loan))</f>
        <v>LOAN</v>
      </c>
      <c r="C90" s="2"/>
    </row>
    <row r="91" spans="1:3" ht="12.75" customHeight="1">
      <c r="A91" s="208" t="s">
        <v>92</v>
      </c>
      <c r="B91" s="9" t="str">
        <f>IF(Eqty&lt;&gt;TA,Eqty,"b")</f>
        <v>EQTY</v>
      </c>
      <c r="C91" s="2"/>
    </row>
    <row r="92" spans="1:3" ht="12.75" customHeight="1">
      <c r="A92" s="207" t="s">
        <v>93</v>
      </c>
      <c r="B92" s="17" t="str">
        <f>IF(Liab&lt;&gt;0,Liab,"b")</f>
        <v>LIAB</v>
      </c>
      <c r="C92" s="1"/>
    </row>
    <row r="93" spans="1:3" ht="12.75" customHeight="1">
      <c r="A93" s="235" t="s">
        <v>290</v>
      </c>
      <c r="B93" s="130" t="s">
        <v>290</v>
      </c>
      <c r="C93" s="1"/>
    </row>
    <row r="94" spans="1:3" ht="12.75" customHeight="1">
      <c r="A94" s="234" t="s">
        <v>241</v>
      </c>
      <c r="B94" s="131"/>
      <c r="C94" s="1"/>
    </row>
    <row r="95" spans="1:3" ht="12.75" customHeight="1">
      <c r="A95" s="207" t="s">
        <v>72</v>
      </c>
      <c r="B95" s="9" t="str">
        <f>IF(Prev="","b",IF(ISBLANK(Prev),"b",Prev))</f>
        <v>b</v>
      </c>
      <c r="C95" s="1"/>
    </row>
    <row r="96" spans="1:3" ht="12.75" customHeight="1">
      <c r="A96" s="233" t="s">
        <v>94</v>
      </c>
      <c r="B96" s="17" t="str">
        <f>IF(ISBLANK(NS),"b",NS)</f>
        <v>b</v>
      </c>
      <c r="C96" s="1"/>
    </row>
    <row r="97" spans="1:3" ht="12.75" customHeight="1">
      <c r="A97" s="208" t="s">
        <v>98</v>
      </c>
      <c r="B97" s="84" t="str">
        <f>IF(ISBLANK(Equip),"b",Equip)</f>
        <v>EQUIP</v>
      </c>
      <c r="C97" s="2"/>
    </row>
    <row r="98" spans="1:3" ht="12.75" customHeight="1">
      <c r="A98" s="208" t="s">
        <v>180</v>
      </c>
      <c r="B98" s="84" t="str">
        <f>IF(ISBLANK(TechWages),"b",TechWages)</f>
        <v>TechWages</v>
      </c>
      <c r="C98" s="2"/>
    </row>
    <row r="99" spans="1:3" ht="12.75" customHeight="1">
      <c r="A99" s="208" t="s">
        <v>181</v>
      </c>
      <c r="B99" s="84" t="str">
        <f>IF(ISBLANK(RentalCost),"b",RentalCost)</f>
        <v>RentalCost</v>
      </c>
      <c r="C99" s="2"/>
    </row>
    <row r="100" spans="1:3" ht="12.75" customHeight="1">
      <c r="A100" s="208" t="s">
        <v>182</v>
      </c>
      <c r="B100" s="85" t="str">
        <f>IF(ISBLANK(OCOGS),"b",OCOGS)</f>
        <v>OCOGS</v>
      </c>
      <c r="C100" s="2"/>
    </row>
    <row r="101" spans="1:3" ht="12.75" customHeight="1">
      <c r="A101" s="207" t="s">
        <v>101</v>
      </c>
      <c r="B101" s="17" t="str">
        <f>IF(COGS&lt;&gt;0,COGS,"b")</f>
        <v>b</v>
      </c>
      <c r="C101" s="1"/>
    </row>
    <row r="102" spans="1:3" ht="12.75" customHeight="1">
      <c r="A102" s="207" t="s">
        <v>102</v>
      </c>
      <c r="B102" s="129" t="str">
        <f>IF(AND(NS&gt;0,COGS&gt;0),GP,"b")</f>
        <v>b</v>
      </c>
      <c r="C102" s="1"/>
    </row>
    <row r="103" spans="1:3" ht="12.75" customHeight="1">
      <c r="A103" s="208" t="s">
        <v>103</v>
      </c>
      <c r="B103" s="9" t="str">
        <f>IF(ISBLANK(PA_Exec),"b",PA_Exec)</f>
        <v>b</v>
      </c>
      <c r="C103" s="2"/>
    </row>
    <row r="104" spans="1:3" ht="12.75" customHeight="1">
      <c r="A104" s="208" t="s">
        <v>104</v>
      </c>
      <c r="B104" s="9" t="str">
        <f>IF(ISBLANK(PA_Out),"b",PA_Out)</f>
        <v>b</v>
      </c>
      <c r="C104" s="2"/>
    </row>
    <row r="105" spans="1:3" ht="12.75" customHeight="1">
      <c r="A105" s="208" t="s">
        <v>235</v>
      </c>
      <c r="B105" s="9" t="str">
        <f>IF(ISBLANK(PA_Inside),"b",PA_Inside)</f>
        <v>b</v>
      </c>
      <c r="C105" s="2"/>
    </row>
    <row r="106" spans="1:3" ht="12.75" customHeight="1">
      <c r="A106" s="208" t="s">
        <v>218</v>
      </c>
      <c r="B106" s="197" t="s">
        <v>295</v>
      </c>
      <c r="C106" s="2"/>
    </row>
    <row r="107" spans="1:3" ht="12.75" customHeight="1">
      <c r="A107" s="208" t="s">
        <v>216</v>
      </c>
      <c r="B107" s="197" t="s">
        <v>295</v>
      </c>
      <c r="C107" s="2"/>
    </row>
    <row r="108" spans="1:3" ht="12.75" customHeight="1">
      <c r="A108" s="208" t="s">
        <v>237</v>
      </c>
      <c r="B108" s="9" t="str">
        <f>IF(ISBLANK(PA_SVC),"b",PA_SVC)</f>
        <v>b</v>
      </c>
      <c r="C108" s="2"/>
    </row>
    <row r="109" spans="1:3" ht="12.75" customHeight="1">
      <c r="A109" s="212" t="s">
        <v>261</v>
      </c>
      <c r="B109" s="132" t="str">
        <f>IF(ISBLANK(PA_WHS),"b",PA_WHS)</f>
        <v>b</v>
      </c>
      <c r="C109" s="2"/>
    </row>
    <row r="110" spans="1:3" ht="12.75" customHeight="1">
      <c r="A110" s="212" t="s">
        <v>300</v>
      </c>
      <c r="B110" s="133">
        <f>IFERROR(IF(SAL-(PA_Exec+PA_Out+PA_Inside+PA_WHS+PA_SVC+PA_PM)&gt;0,SAL-((PA_Exec+PA_Out+PA_Inside+PA_WHS+PA_SVC+PA_PM)),0),"B")</f>
        <v>0</v>
      </c>
      <c r="C110" s="2"/>
    </row>
    <row r="111" spans="1:3" ht="12.75" customHeight="1">
      <c r="A111" s="212" t="s">
        <v>257</v>
      </c>
      <c r="B111" s="134" t="str">
        <f>IF(ISBLANK(PA_OTH),"b",PA_OTH)</f>
        <v>b</v>
      </c>
      <c r="C111" s="2"/>
    </row>
    <row r="112" spans="1:3" ht="12.75" customHeight="1">
      <c r="A112" s="211" t="s">
        <v>256</v>
      </c>
      <c r="B112" s="135" t="str">
        <f>IF(ISBLANK(PA_PM),"b",PA_PM)</f>
        <v>b</v>
      </c>
      <c r="C112" s="2"/>
    </row>
    <row r="113" spans="1:3" ht="12.75" customHeight="1">
      <c r="A113" s="211" t="s">
        <v>236</v>
      </c>
      <c r="B113" s="135" t="str">
        <f>IF(ISBLANK(PA_Tech),"b",PA_Tech)</f>
        <v>b</v>
      </c>
      <c r="C113" s="2"/>
    </row>
    <row r="114" spans="1:3" ht="12.75" customHeight="1">
      <c r="A114" s="210"/>
      <c r="B114" s="84" t="s">
        <v>244</v>
      </c>
      <c r="C114" s="2"/>
    </row>
    <row r="115" spans="1:3" ht="12.75" customHeight="1">
      <c r="A115" s="208" t="s">
        <v>183</v>
      </c>
      <c r="B115" s="134" t="str">
        <f>IF(SAL&gt;0,SAL,"b")</f>
        <v>b</v>
      </c>
      <c r="C115" s="2"/>
    </row>
    <row r="116" spans="1:3" ht="12.75" customHeight="1">
      <c r="A116" s="208" t="s">
        <v>184</v>
      </c>
      <c r="B116" s="9" t="str">
        <f>IF(ISBLANK(PT),"b",PT)</f>
        <v>b</v>
      </c>
      <c r="C116" s="2"/>
    </row>
    <row r="117" spans="1:3" ht="12.75" customHeight="1">
      <c r="A117" s="208" t="s">
        <v>186</v>
      </c>
      <c r="B117" s="9" t="str">
        <f>IF(ISBLANK(GRP_INS),"b",GRP_INS)</f>
        <v>b</v>
      </c>
      <c r="C117" s="2"/>
    </row>
    <row r="118" spans="1:3" ht="12.75" customHeight="1">
      <c r="A118" s="208" t="s">
        <v>185</v>
      </c>
      <c r="B118" s="9" t="str">
        <f>IF(ISBLANK(BENE),"b",BENE)</f>
        <v>b</v>
      </c>
      <c r="C118" s="2"/>
    </row>
    <row r="119" spans="1:3" ht="12.75" customHeight="1">
      <c r="A119" s="208" t="s">
        <v>105</v>
      </c>
      <c r="B119" s="9" t="str">
        <f>IF(PA&gt;0,PA,"b")</f>
        <v>b</v>
      </c>
      <c r="C119" s="2"/>
    </row>
    <row r="120" spans="1:3" ht="12.75" customHeight="1">
      <c r="A120" s="208" t="s">
        <v>96</v>
      </c>
      <c r="B120" s="9" t="str">
        <f>IF(ISBLANK(UT),"b",UT)</f>
        <v>b</v>
      </c>
      <c r="C120" s="2"/>
    </row>
    <row r="121" spans="1:3" ht="12.75" customHeight="1">
      <c r="A121" s="210" t="s">
        <v>249</v>
      </c>
      <c r="B121" s="136" t="s">
        <v>244</v>
      </c>
      <c r="C121" s="2"/>
    </row>
    <row r="122" spans="1:3" ht="12.75" customHeight="1">
      <c r="A122" s="208" t="s">
        <v>95</v>
      </c>
      <c r="B122" s="9" t="str">
        <f>IF(ISBLANK(RM),"b",RM)</f>
        <v>b</v>
      </c>
      <c r="C122" s="2"/>
    </row>
    <row r="123" spans="1:3" ht="12.75" customHeight="1">
      <c r="A123" s="208" t="s">
        <v>97</v>
      </c>
      <c r="B123" s="9" t="str">
        <f>IF(ISBLANK(Rent),"b",Rent)</f>
        <v>b</v>
      </c>
      <c r="C123" s="2"/>
    </row>
    <row r="124" spans="1:3" ht="12.75" customHeight="1">
      <c r="A124" s="208" t="s">
        <v>187</v>
      </c>
      <c r="B124" s="9" t="str">
        <f>IF(OC&gt;0,OC,"b")</f>
        <v>b</v>
      </c>
      <c r="C124" s="2"/>
    </row>
    <row r="125" spans="1:3" ht="12.75" customHeight="1">
      <c r="A125" s="208" t="s">
        <v>188</v>
      </c>
      <c r="B125" s="9" t="str">
        <f>IF(ISBLANK(VEH),"b",VEH)</f>
        <v>b</v>
      </c>
      <c r="C125" s="2"/>
    </row>
    <row r="126" spans="1:3" ht="12.75" customHeight="1">
      <c r="A126" s="208" t="s">
        <v>99</v>
      </c>
      <c r="B126" s="9" t="str">
        <f>IF(ISBLANK(Ins),"b",Ins)</f>
        <v>b</v>
      </c>
      <c r="C126" s="2"/>
    </row>
    <row r="127" spans="1:3" ht="12.75" customHeight="1">
      <c r="A127" s="208" t="s">
        <v>100</v>
      </c>
      <c r="B127" s="9" t="str">
        <f>IF(ISBLANK(DPR),"b",DPR)</f>
        <v>b</v>
      </c>
      <c r="C127" s="2"/>
    </row>
    <row r="128" spans="1:3" ht="12.75" customHeight="1">
      <c r="A128" s="208" t="s">
        <v>189</v>
      </c>
      <c r="B128" s="9" t="str">
        <f>IF(ISBLANK(TRN),"b",TRN)</f>
        <v>b</v>
      </c>
      <c r="C128" s="2"/>
    </row>
    <row r="129" spans="1:3" ht="12.75" customHeight="1">
      <c r="A129" s="208" t="s">
        <v>190</v>
      </c>
      <c r="B129" s="9" t="str">
        <f>IF(ISBLANK(MIS),"b",MIS)</f>
        <v>b</v>
      </c>
      <c r="C129" s="2"/>
    </row>
    <row r="130" spans="1:3" ht="12.75" customHeight="1">
      <c r="A130" s="208" t="s">
        <v>106</v>
      </c>
      <c r="B130" s="9" t="str">
        <f>IF(ISBLANK(AD),"b",AD)</f>
        <v>b</v>
      </c>
      <c r="C130" s="2"/>
    </row>
    <row r="131" spans="1:3" ht="12.75" customHeight="1">
      <c r="A131" s="210"/>
      <c r="B131" s="84" t="s">
        <v>244</v>
      </c>
      <c r="C131" s="2"/>
    </row>
    <row r="132" spans="1:3" ht="12.75" customHeight="1">
      <c r="A132" s="210"/>
      <c r="B132" s="84" t="s">
        <v>244</v>
      </c>
      <c r="C132" s="2"/>
    </row>
    <row r="133" spans="1:3" ht="12.75" customHeight="1">
      <c r="A133" s="210"/>
      <c r="B133" s="84" t="s">
        <v>244</v>
      </c>
      <c r="C133" s="2"/>
    </row>
    <row r="134" spans="1:3" ht="12.75" customHeight="1">
      <c r="A134" s="208" t="s">
        <v>107</v>
      </c>
      <c r="B134" s="129" t="str">
        <f>IF((TE&gt;0),(OE),"b")</f>
        <v>b</v>
      </c>
      <c r="C134" s="2"/>
    </row>
    <row r="135" spans="1:3" ht="12.75" customHeight="1">
      <c r="A135" s="208" t="s">
        <v>108</v>
      </c>
      <c r="B135" s="17" t="str">
        <f>IF(TOE&lt;&gt;0,TOE,"b")</f>
        <v>b</v>
      </c>
      <c r="C135" s="2"/>
    </row>
    <row r="136" spans="1:3" ht="12.75" customHeight="1">
      <c r="A136" s="207" t="s">
        <v>109</v>
      </c>
      <c r="B136" s="17" t="str">
        <f>IF(TE&lt;&gt;0,TE,"b")</f>
        <v>b</v>
      </c>
      <c r="C136" s="1"/>
    </row>
    <row r="137" spans="1:3" ht="12.75" customHeight="1">
      <c r="A137" s="207" t="s">
        <v>110</v>
      </c>
      <c r="B137" s="129" t="str">
        <f>IF(AND(GP&lt;&gt;0,TE&gt;0),OP,"b")</f>
        <v>b</v>
      </c>
      <c r="C137" s="1"/>
    </row>
    <row r="138" spans="1:3" ht="12.75" customHeight="1">
      <c r="A138" s="208" t="s">
        <v>111</v>
      </c>
      <c r="B138" s="9" t="str">
        <f>IF(ISBLANK(OI),"b",OI)</f>
        <v>b</v>
      </c>
      <c r="C138" s="2"/>
    </row>
    <row r="139" spans="1:3" ht="12.75" customHeight="1">
      <c r="A139" s="208" t="s">
        <v>112</v>
      </c>
      <c r="B139" s="9" t="str">
        <f>IF(ISBLANK(Int),"b",Int)</f>
        <v>b</v>
      </c>
      <c r="C139" s="2"/>
    </row>
    <row r="140" spans="1:3" ht="12.75" customHeight="1">
      <c r="A140" s="208" t="s">
        <v>113</v>
      </c>
      <c r="B140" s="9" t="str">
        <f>IF(ISBLANK(Oex),"b",Oex)</f>
        <v>b</v>
      </c>
      <c r="C140" s="2"/>
    </row>
    <row r="141" spans="1:3" ht="12.75" customHeight="1">
      <c r="A141" s="213" t="s">
        <v>291</v>
      </c>
      <c r="B141" s="84" t="s">
        <v>244</v>
      </c>
      <c r="C141" s="2"/>
    </row>
    <row r="142" spans="1:3" ht="12.75" customHeight="1">
      <c r="A142" s="214" t="s">
        <v>292</v>
      </c>
      <c r="B142" s="84" t="s">
        <v>244</v>
      </c>
      <c r="C142" s="2"/>
    </row>
    <row r="143" spans="1:3" ht="12.75" customHeight="1">
      <c r="A143" s="214" t="s">
        <v>293</v>
      </c>
      <c r="B143" s="84" t="s">
        <v>244</v>
      </c>
      <c r="C143" s="2"/>
    </row>
    <row r="144" spans="1:3" ht="12.75" customHeight="1">
      <c r="A144" s="207" t="s">
        <v>114</v>
      </c>
      <c r="B144" s="129" t="str">
        <f>IF(AND(GP&lt;&gt;0,TE&gt;0),PBT,"b")</f>
        <v>b</v>
      </c>
      <c r="C144" s="1"/>
    </row>
    <row r="145" spans="1:3" ht="12.75" customHeight="1">
      <c r="A145" s="208" t="s">
        <v>115</v>
      </c>
      <c r="B145" s="74" t="str">
        <f>IF(ISBLANK(Tax),"b",(Tax))</f>
        <v>b</v>
      </c>
      <c r="C145" s="2"/>
    </row>
    <row r="146" spans="1:3" ht="12.75" customHeight="1">
      <c r="A146" s="207" t="s">
        <v>116</v>
      </c>
      <c r="B146" s="74" t="str">
        <f>IF(ISBLANK(Tax),"b",(Net))</f>
        <v>b</v>
      </c>
      <c r="C146" s="1"/>
    </row>
    <row r="147" spans="1:3" ht="12.75" customHeight="1">
      <c r="A147" s="208" t="s">
        <v>156</v>
      </c>
      <c r="B147" s="117" t="str">
        <f>IF((NS_OTH&lt;&gt;NS),((NS_New+NS_Used+NS_Counter+NS_RENT)/NS*100),"b")</f>
        <v>b</v>
      </c>
      <c r="C147" s="2"/>
    </row>
    <row r="148" spans="1:3" ht="12.75" customHeight="1">
      <c r="A148" s="208" t="s">
        <v>157</v>
      </c>
      <c r="B148" s="117" t="str">
        <f>IF(NS_OTH&lt;&gt;NS,NS_ES/NS*100,"b")</f>
        <v>b</v>
      </c>
      <c r="C148" s="2"/>
    </row>
    <row r="149" spans="1:3" ht="12.75" customHeight="1">
      <c r="A149" s="208" t="s">
        <v>158</v>
      </c>
      <c r="B149" s="117" t="str">
        <f>IF(NS_OTH&lt;&gt;NS,NS_SH/NS*100,"b")</f>
        <v>b</v>
      </c>
      <c r="C149" s="2"/>
    </row>
    <row r="150" spans="1:3" ht="12.75" customHeight="1">
      <c r="A150" s="208" t="s">
        <v>159</v>
      </c>
      <c r="B150" s="117" t="str">
        <f>IF((NS_OTH&lt;&gt;NS),100-(LTrucks+EngSys+SH),"b")</f>
        <v>b</v>
      </c>
      <c r="C150" s="2"/>
    </row>
    <row r="151" spans="1:3" ht="12.75" customHeight="1">
      <c r="A151" s="208" t="s">
        <v>191</v>
      </c>
      <c r="B151" s="104" t="str">
        <f>IF((NS_OTH&lt;&gt;NS),NS_New,"b")</f>
        <v>b</v>
      </c>
      <c r="C151" s="2"/>
    </row>
    <row r="152" spans="1:3" ht="12.75" customHeight="1">
      <c r="A152" s="208" t="s">
        <v>192</v>
      </c>
      <c r="B152" s="9" t="str">
        <f>IF((NS_OTH&lt;&gt;NS),NS_Used,"b")</f>
        <v>b</v>
      </c>
      <c r="C152" s="2"/>
    </row>
    <row r="153" spans="1:3" ht="12.75" customHeight="1">
      <c r="A153" s="231" t="s">
        <v>193</v>
      </c>
      <c r="B153" s="9" t="str">
        <f>IF((NS_OTH&lt;&gt;NS),NS_SH,"b")</f>
        <v>b</v>
      </c>
      <c r="C153" s="2"/>
    </row>
    <row r="154" spans="1:3" ht="12.75" customHeight="1">
      <c r="A154" s="231" t="s">
        <v>194</v>
      </c>
      <c r="B154" s="9" t="str">
        <f>IF((NS_OTH&lt;&gt;NS),NS_ES,"b")</f>
        <v>b</v>
      </c>
      <c r="C154" s="2"/>
    </row>
    <row r="155" spans="1:3" ht="12.75" customHeight="1">
      <c r="A155" s="208" t="s">
        <v>195</v>
      </c>
      <c r="B155" s="9" t="str">
        <f>IF((NS_OTH&lt;&gt;NS),NS_Counter,"b")</f>
        <v>b</v>
      </c>
      <c r="C155" s="2"/>
    </row>
    <row r="156" spans="1:3" ht="12.75" customHeight="1">
      <c r="A156" s="250" t="s">
        <v>196</v>
      </c>
      <c r="B156" s="9" t="str">
        <f>IF((NS_OTH&lt;&gt;NS),NS_SVC,"b")</f>
        <v>b</v>
      </c>
      <c r="C156" s="2"/>
    </row>
    <row r="157" spans="1:3" ht="12.75" customHeight="1">
      <c r="A157" s="208" t="s">
        <v>197</v>
      </c>
      <c r="B157" s="9" t="str">
        <f>IF((NS_OTH&lt;&gt;NS),NS_RENT,"b")</f>
        <v>b</v>
      </c>
      <c r="C157" s="2"/>
    </row>
    <row r="158" spans="1:3" ht="12.75" customHeight="1">
      <c r="A158" s="211" t="s">
        <v>265</v>
      </c>
      <c r="B158" s="135" t="str">
        <f>IF((NS_OTH&lt;&gt;NS),NS_Install,"b")</f>
        <v>b</v>
      </c>
      <c r="C158" s="2"/>
    </row>
    <row r="159" spans="1:3" ht="12.75" customHeight="1">
      <c r="A159" s="208" t="s">
        <v>198</v>
      </c>
      <c r="B159" s="9" t="str">
        <f>IF((NS_OTH&lt;&gt;NS),NS_OTH,"b")</f>
        <v>b</v>
      </c>
      <c r="C159" s="2"/>
    </row>
    <row r="160" spans="1:3" ht="12.75" customHeight="1">
      <c r="A160" s="208" t="s">
        <v>207</v>
      </c>
      <c r="B160" s="104" t="str">
        <f>IF((COGS_OTH&lt;&gt;COGS),COGS_New,"b")</f>
        <v>b</v>
      </c>
      <c r="C160" s="2"/>
    </row>
    <row r="161" spans="1:3" ht="12.75" customHeight="1">
      <c r="A161" s="208" t="s">
        <v>208</v>
      </c>
      <c r="B161" s="9" t="str">
        <f>IF((COGS_OTH&lt;&gt;COGS),COGS_Used,"b")</f>
        <v>b</v>
      </c>
      <c r="C161" s="2"/>
    </row>
    <row r="162" spans="1:3" ht="12.75" customHeight="1">
      <c r="A162" s="231" t="s">
        <v>209</v>
      </c>
      <c r="B162" s="9" t="str">
        <f>IF((COGS_OTH&lt;&gt;COGS),COGS_SH,"b")</f>
        <v>b</v>
      </c>
      <c r="C162" s="2"/>
    </row>
    <row r="163" spans="1:3" ht="12.75" customHeight="1">
      <c r="A163" s="231" t="s">
        <v>210</v>
      </c>
      <c r="B163" s="9" t="str">
        <f>IF((COGS_OTH&lt;&gt;COGS),COGS_ES,"b")</f>
        <v>b</v>
      </c>
      <c r="C163" s="2"/>
    </row>
    <row r="164" spans="1:3" ht="12.75" customHeight="1">
      <c r="A164" s="208" t="s">
        <v>211</v>
      </c>
      <c r="B164" s="9" t="str">
        <f>IF((COGS_OTH&lt;&gt;COGS),COGS_Counter,"b")</f>
        <v>b</v>
      </c>
      <c r="C164" s="2"/>
    </row>
    <row r="165" spans="1:3" ht="12.75" customHeight="1">
      <c r="A165" s="250" t="s">
        <v>212</v>
      </c>
      <c r="B165" s="9" t="str">
        <f>IF((COGS_OTH&lt;&gt;COGS),COGS_SVC,"b")</f>
        <v>b</v>
      </c>
      <c r="C165" s="2"/>
    </row>
    <row r="166" spans="1:3" ht="12.75" customHeight="1">
      <c r="A166" s="208" t="s">
        <v>213</v>
      </c>
      <c r="B166" s="9" t="str">
        <f>IF((COGS_OTH&lt;&gt;COGS),COGS_Rent,"b")</f>
        <v>b</v>
      </c>
      <c r="C166" s="2"/>
    </row>
    <row r="167" spans="1:3" ht="12.75" customHeight="1">
      <c r="A167" s="211" t="s">
        <v>266</v>
      </c>
      <c r="B167" s="135" t="str">
        <f>IF((COGS_OTH&lt;&gt;COGS),COGS_Install,"b")</f>
        <v>b</v>
      </c>
      <c r="C167" s="2"/>
    </row>
    <row r="168" spans="1:3" ht="12.75" customHeight="1">
      <c r="A168" s="208" t="s">
        <v>214</v>
      </c>
      <c r="B168" s="9" t="str">
        <f>IF((COGS_OTH&lt;&gt;COGS),COGS_OTH,"b")</f>
        <v>b</v>
      </c>
      <c r="C168" s="2"/>
    </row>
    <row r="169" spans="1:3" ht="12.75" customHeight="1">
      <c r="A169" s="236" t="s">
        <v>199</v>
      </c>
      <c r="B169" s="137" t="str">
        <f>IF(AND(NS_New&gt;0,COGS_New&gt;0),NS_New-COGS_New,"b")</f>
        <v>b</v>
      </c>
      <c r="C169" s="75"/>
    </row>
    <row r="170" spans="1:3" ht="12.75" customHeight="1">
      <c r="A170" s="236" t="s">
        <v>200</v>
      </c>
      <c r="B170" s="138" t="str">
        <f>IF(AND(NS_Used&gt;0,COGS_Used),NS_Used-COGS_Used,"b")</f>
        <v>b</v>
      </c>
      <c r="C170" s="75"/>
    </row>
    <row r="171" spans="1:3" ht="12.75" customHeight="1">
      <c r="A171" s="236" t="s">
        <v>201</v>
      </c>
      <c r="B171" s="138" t="str">
        <f>IF(AND(NS_SH&gt;0,COGS_SH),NS_SH-COGS_SH,"b")</f>
        <v>b</v>
      </c>
      <c r="C171" s="75"/>
    </row>
    <row r="172" spans="1:3" ht="12.75" customHeight="1">
      <c r="A172" s="236" t="s">
        <v>202</v>
      </c>
      <c r="B172" s="138" t="str">
        <f>IF(AND(NS_ES&gt;0,COGS_ES&gt;0),NS_ES-COGS_ES,"b")</f>
        <v>b</v>
      </c>
      <c r="C172" s="75"/>
    </row>
    <row r="173" spans="1:3" ht="12.75" customHeight="1">
      <c r="A173" s="236" t="s">
        <v>203</v>
      </c>
      <c r="B173" s="138" t="str">
        <f>IF(AND(NS_Counter&gt;0,COGS_Counter&gt;0),NS_Counter-COGS_Counter,"b")</f>
        <v>b</v>
      </c>
      <c r="C173" s="75"/>
    </row>
    <row r="174" spans="1:3" ht="12.75" customHeight="1">
      <c r="A174" s="249" t="s">
        <v>204</v>
      </c>
      <c r="B174" s="138" t="str">
        <f>IF(AND(NS_SVC&gt;0,COGS_SVC&gt;0),NS_SVC-COGS_SVC,"b")</f>
        <v>b</v>
      </c>
      <c r="C174" s="75"/>
    </row>
    <row r="175" spans="1:3" ht="12.75" customHeight="1">
      <c r="A175" s="236" t="s">
        <v>205</v>
      </c>
      <c r="B175" s="138" t="str">
        <f>IF(AND(NS_RENT&gt;0,COGS_Rent&gt;0),NS_RENT-COGS_Rent,"b")</f>
        <v>b</v>
      </c>
      <c r="C175" s="75"/>
    </row>
    <row r="176" spans="1:3" ht="12.75" customHeight="1">
      <c r="A176" s="249" t="s">
        <v>267</v>
      </c>
      <c r="B176" s="139" t="str">
        <f>IF(AND(NS_Install&gt;0,COGS_Install&gt;0),NS_Install-COGS_Install,"b")</f>
        <v>b</v>
      </c>
      <c r="C176" s="75"/>
    </row>
    <row r="177" spans="1:3" ht="12.75" customHeight="1">
      <c r="A177" s="236" t="s">
        <v>206</v>
      </c>
      <c r="B177" s="138" t="str">
        <f>IF(AND(NS_OTH&gt;0,COGS_OTH&gt;0),NS_OTH-COGS_OTH,"b")</f>
        <v>b</v>
      </c>
      <c r="C177" s="75"/>
    </row>
    <row r="178" spans="1:3" ht="12.75" customHeight="1">
      <c r="A178" s="208" t="s">
        <v>245</v>
      </c>
      <c r="B178" s="140" t="str">
        <f>IFERROR(PT/SAL,"b")</f>
        <v>b</v>
      </c>
      <c r="C178" s="2"/>
    </row>
    <row r="179" spans="1:3" ht="12.75" customHeight="1">
      <c r="A179" s="208" t="s">
        <v>246</v>
      </c>
      <c r="B179" s="140" t="str">
        <f>IFERROR(GRP_INS/SAL,"b")</f>
        <v>b</v>
      </c>
      <c r="C179" s="2"/>
    </row>
    <row r="180" spans="1:3" ht="12.75" customHeight="1">
      <c r="A180" s="208" t="s">
        <v>247</v>
      </c>
      <c r="B180" s="140" t="str">
        <f>IFERROR(BENE/SAL,"b")</f>
        <v>b</v>
      </c>
      <c r="C180" s="2"/>
    </row>
    <row r="181" spans="1:3" ht="12.75" customHeight="1">
      <c r="A181" s="208" t="s">
        <v>248</v>
      </c>
      <c r="B181" s="140">
        <f>IFERROR(PT_Pct+Grp_Pct+BENE_Pct,0)</f>
        <v>0</v>
      </c>
      <c r="C181" s="2"/>
    </row>
    <row r="182" spans="1:3" ht="12.75" customHeight="1">
      <c r="A182" s="208" t="s">
        <v>215</v>
      </c>
      <c r="B182" s="104" t="str">
        <f>IF((PA_Out&gt;0),(PA_Out+PA_Inside)*(1+Burden_Pct),"b")</f>
        <v>b</v>
      </c>
      <c r="C182" s="2"/>
    </row>
    <row r="183" spans="1:3" ht="12.75" customHeight="1">
      <c r="A183" s="208" t="s">
        <v>216</v>
      </c>
      <c r="B183" s="197" t="s">
        <v>295</v>
      </c>
      <c r="C183" s="2"/>
    </row>
    <row r="184" spans="1:3" ht="12.75" customHeight="1">
      <c r="A184" s="208" t="s">
        <v>217</v>
      </c>
      <c r="B184" s="9" t="str">
        <f>IF(ISBLANK(PA_SVC),"b",PA_SVC*(1+Burden_Pct))</f>
        <v>b</v>
      </c>
      <c r="C184" s="2"/>
    </row>
    <row r="185" spans="1:3" ht="12.75" customHeight="1">
      <c r="A185" s="208" t="s">
        <v>218</v>
      </c>
      <c r="B185" s="197" t="s">
        <v>295</v>
      </c>
      <c r="C185" s="2"/>
    </row>
    <row r="186" spans="1:3" ht="12.75" customHeight="1">
      <c r="A186" s="208" t="s">
        <v>219</v>
      </c>
      <c r="B186" s="104" t="str">
        <f>IF(((PA_Exec+PA_OTH)&gt;0),(PA_Exec+PA_WHS+PA_OTH)*(1+Burden_Pct),"b")</f>
        <v>b</v>
      </c>
      <c r="C186" s="2"/>
    </row>
    <row r="187" spans="1:3" ht="12.75" customHeight="1">
      <c r="A187" s="208" t="s">
        <v>225</v>
      </c>
      <c r="B187" s="104" t="str">
        <f>IF(ISBLANK(OC_Sales),"b",OC_Sales)</f>
        <v>OC_Sales</v>
      </c>
      <c r="C187" s="2"/>
    </row>
    <row r="188" spans="1:3" ht="12.75" customHeight="1">
      <c r="A188" s="208" t="s">
        <v>229</v>
      </c>
      <c r="B188" s="9" t="str">
        <f>IF(ISBLANK(OC_Parts),"b",OC_Parts)</f>
        <v>OC_Parts</v>
      </c>
      <c r="C188" s="2"/>
    </row>
    <row r="189" spans="1:3" ht="12.75" customHeight="1">
      <c r="A189" s="208" t="s">
        <v>226</v>
      </c>
      <c r="B189" s="9" t="str">
        <f>IF(ISBLANK(OC_SVC),"b",OC_SVC)</f>
        <v>OC_SCV</v>
      </c>
      <c r="C189" s="2"/>
    </row>
    <row r="190" spans="1:3" ht="12.75" customHeight="1">
      <c r="A190" s="208" t="s">
        <v>227</v>
      </c>
      <c r="B190" s="9" t="str">
        <f>IF(ISBLANK(OC_Rental),"b",OC_Rental)</f>
        <v>OC_Rental</v>
      </c>
      <c r="C190" s="2"/>
    </row>
    <row r="191" spans="1:3" ht="12.75" customHeight="1">
      <c r="A191" s="208" t="s">
        <v>228</v>
      </c>
      <c r="B191" s="9" t="str">
        <f>IF((OC_GA&lt;&gt;OC),OC_GA,"b")</f>
        <v>OC_GA</v>
      </c>
      <c r="C191" s="2"/>
    </row>
    <row r="192" spans="1:3" ht="12.75" customHeight="1">
      <c r="A192" s="208" t="s">
        <v>220</v>
      </c>
      <c r="B192" s="104" t="str">
        <f>IF(ISBLANK(OE_Sales),"b",OE_Sales)</f>
        <v>OE_Sales</v>
      </c>
      <c r="C192" s="2"/>
    </row>
    <row r="193" spans="1:3" ht="12.75" customHeight="1">
      <c r="A193" s="208" t="s">
        <v>224</v>
      </c>
      <c r="B193" s="9" t="str">
        <f>IF(ISBLANK(OE_Parts),"b",OE_Parts)</f>
        <v>OE_Parts</v>
      </c>
      <c r="C193" s="2"/>
    </row>
    <row r="194" spans="1:3" ht="12.75" customHeight="1">
      <c r="A194" s="208" t="s">
        <v>221</v>
      </c>
      <c r="B194" s="9" t="str">
        <f>IF(ISBLANK(OE_SVC),"b",OE_SVC)</f>
        <v>OE_SCV</v>
      </c>
      <c r="C194" s="2"/>
    </row>
    <row r="195" spans="1:3" ht="12.75" customHeight="1">
      <c r="A195" s="208" t="s">
        <v>222</v>
      </c>
      <c r="B195" s="9" t="str">
        <f>IF(ISBLANK(OE_Rental),"b",OE_Rental)</f>
        <v>OE_Rental</v>
      </c>
      <c r="C195" s="2"/>
    </row>
    <row r="196" spans="1:3">
      <c r="A196" s="208" t="s">
        <v>223</v>
      </c>
      <c r="B196" s="9" t="str">
        <f>IF((OE_GA&lt;&gt;OE),OE_GA,"b")</f>
        <v>OE_GA</v>
      </c>
      <c r="C196" s="2"/>
    </row>
    <row r="197" spans="1:3">
      <c r="A197" s="207" t="s">
        <v>301</v>
      </c>
      <c r="B197" s="141" t="str">
        <f>IFERROR(IF(NS&gt;0,(NS_New+NS_Used+NS_SH+NS_ES+NS_Counter)*(100-DROP)/100,"B"),"b")</f>
        <v>B</v>
      </c>
    </row>
    <row r="198" spans="1:3">
      <c r="A198" s="207" t="s">
        <v>302</v>
      </c>
      <c r="B198" s="141" t="str">
        <f>IFERROR(IF(COGS&gt;0,(COGS_New+COGS_Used+COGS_SH+COGS_ES+COGS_Counter)*(100-DROP)/100,"B"),"b")</f>
        <v>B</v>
      </c>
    </row>
    <row r="199" spans="1:3">
      <c r="A199" s="207" t="s">
        <v>303</v>
      </c>
      <c r="B199" s="142" t="str">
        <f>IFERROR(WHSNS-WHSCOGS,"B")</f>
        <v>B</v>
      </c>
    </row>
    <row r="200" spans="1:3" ht="12.95" customHeight="1">
      <c r="A200" s="237" t="s">
        <v>304</v>
      </c>
    </row>
    <row r="201" spans="1:3" ht="12.95" customHeight="1">
      <c r="A201" s="215" t="s">
        <v>305</v>
      </c>
    </row>
    <row r="202" spans="1:3" ht="15.75">
      <c r="A202" s="238" t="s">
        <v>306</v>
      </c>
      <c r="B202" s="143" t="str">
        <f>IFERROR(IF(AVG&gt;0,AVG+(End-Add/2),"b"),"B")</f>
        <v>B</v>
      </c>
    </row>
    <row r="203" spans="1:3" ht="15.75">
      <c r="A203" s="239" t="s">
        <v>307</v>
      </c>
      <c r="B203" s="143" t="str">
        <f>IFERROR(IF(Inv&gt;0,Inv+End,"b"),"B")</f>
        <v>B</v>
      </c>
    </row>
    <row r="204" spans="1:3" ht="15.75">
      <c r="A204" s="239" t="s">
        <v>308</v>
      </c>
      <c r="B204" s="143" t="str">
        <f>IFERROR(IF(CA&gt;0,CA+End,"b"),"B")</f>
        <v>B</v>
      </c>
    </row>
    <row r="205" spans="1:3" ht="15.75">
      <c r="A205" s="239" t="s">
        <v>309</v>
      </c>
      <c r="B205" s="143" t="str">
        <f>IFERROR(IF(TA&gt;0,TA+End,"b"),"B")</f>
        <v>B</v>
      </c>
    </row>
    <row r="206" spans="1:3" ht="15.75">
      <c r="A206" s="239" t="s">
        <v>310</v>
      </c>
      <c r="B206" s="143" t="str">
        <f>IFERROR(IF(Eqty&lt;&gt;0,Loan+Eqty+End,"b"),"B")</f>
        <v>B</v>
      </c>
    </row>
    <row r="207" spans="1:3" ht="15.75">
      <c r="A207" s="239" t="s">
        <v>311</v>
      </c>
      <c r="B207" s="143" t="str">
        <f>IFERROR(IF(COGS&gt;0,COGS-Add,"b"),"B")</f>
        <v>b</v>
      </c>
    </row>
    <row r="208" spans="1:3" ht="15.75">
      <c r="A208" s="239" t="s">
        <v>312</v>
      </c>
      <c r="B208" s="143" t="str">
        <f>IFERROR(IF(AND(NS&gt;0,COGS&gt;0),GP+Add,"b"),"B")</f>
        <v>b</v>
      </c>
    </row>
    <row r="209" spans="1:2" ht="15.75">
      <c r="A209" s="239" t="s">
        <v>313</v>
      </c>
      <c r="B209" s="143" t="str">
        <f>IFERROR(IF(AND(GP&lt;&gt;0,TE&gt;0),OP+Add,"b"),"B")</f>
        <v>b</v>
      </c>
    </row>
    <row r="210" spans="1:2" ht="15.75">
      <c r="A210" s="239" t="s">
        <v>314</v>
      </c>
      <c r="B210" s="143" t="str">
        <f>IFERROR(IF(PBT&gt;0,PBT+Add,"b"),"B")</f>
        <v>b</v>
      </c>
    </row>
    <row r="211" spans="1:2" ht="15.75">
      <c r="A211" s="239" t="s">
        <v>315</v>
      </c>
      <c r="B211" s="144" t="str">
        <f>IFERROR(IF(ISBLANK(Tax),"b",(Net+Add)),"B")</f>
        <v>b</v>
      </c>
    </row>
    <row r="212" spans="1:2">
      <c r="A212" s="254" t="s">
        <v>521</v>
      </c>
      <c r="B212" s="200">
        <v>0</v>
      </c>
    </row>
    <row r="213" spans="1:2">
      <c r="A213" s="255" t="s">
        <v>522</v>
      </c>
      <c r="B213" s="199">
        <v>0</v>
      </c>
    </row>
    <row r="214" spans="1:2">
      <c r="A214" s="231" t="s">
        <v>316</v>
      </c>
      <c r="B214" s="145" t="str">
        <f>IFERROR((NS-Prev)/Prev,"B")</f>
        <v>B</v>
      </c>
    </row>
    <row r="215" spans="1:2">
      <c r="A215" s="208" t="s">
        <v>317</v>
      </c>
      <c r="B215" s="146" t="str">
        <f>IFERROR(PBT_2/NS,"B")</f>
        <v>B</v>
      </c>
    </row>
    <row r="216" spans="1:2">
      <c r="A216" s="208" t="s">
        <v>318</v>
      </c>
      <c r="B216" s="147" t="str">
        <f>IFERROR(NS/TA_2,"B")</f>
        <v>B</v>
      </c>
    </row>
    <row r="217" spans="1:2">
      <c r="A217" s="208" t="s">
        <v>319</v>
      </c>
      <c r="B217" s="148" t="str">
        <f>IFERROR(PBT_2/TA_2,"B")</f>
        <v>B</v>
      </c>
    </row>
    <row r="218" spans="1:2">
      <c r="A218" s="208" t="s">
        <v>320</v>
      </c>
      <c r="B218" s="147" t="str">
        <f>IFERROR(TA_2/NW_2,"B")</f>
        <v>B</v>
      </c>
    </row>
    <row r="219" spans="1:2">
      <c r="A219" s="208" t="s">
        <v>321</v>
      </c>
      <c r="B219" s="148" t="str">
        <f>IFERROR(PBT_2/NW_2,"B")</f>
        <v>B</v>
      </c>
    </row>
    <row r="220" spans="1:2">
      <c r="A220" s="208"/>
    </row>
    <row r="221" spans="1:2">
      <c r="A221" s="209" t="s">
        <v>322</v>
      </c>
      <c r="B221" s="147" t="str">
        <f>IFERROR(CA_2/CL,"B")</f>
        <v>B</v>
      </c>
    </row>
    <row r="222" spans="1:2">
      <c r="A222" s="209" t="s">
        <v>323</v>
      </c>
      <c r="B222" s="149" t="str">
        <f>IFERROR((Cash+AR)/CL,"B")</f>
        <v>B</v>
      </c>
    </row>
    <row r="223" spans="1:2">
      <c r="A223" s="209" t="s">
        <v>324</v>
      </c>
      <c r="B223" s="145" t="str">
        <f>IFERROR(Cash/CL,"B")</f>
        <v>B</v>
      </c>
    </row>
    <row r="224" spans="1:2">
      <c r="A224" s="209" t="s">
        <v>325</v>
      </c>
      <c r="B224" s="150" t="str">
        <f>IFERROR(AP/INV_2,"B")</f>
        <v>B</v>
      </c>
    </row>
    <row r="225" spans="1:2" ht="15.75">
      <c r="A225" s="240" t="s">
        <v>326</v>
      </c>
      <c r="B225" s="151" t="str">
        <f>IFERROR(((AAP)/(COGS_2/365)),"B")</f>
        <v>B</v>
      </c>
    </row>
    <row r="226" spans="1:2">
      <c r="A226" s="209" t="s">
        <v>327</v>
      </c>
      <c r="B226" s="152" t="str">
        <f>IFERROR((TA_2-NW_2)/NW_2,"B")</f>
        <v>B</v>
      </c>
    </row>
    <row r="227" spans="1:2">
      <c r="A227" s="209" t="s">
        <v>328</v>
      </c>
      <c r="B227" s="148" t="str">
        <f>IFERROR((PBT_2+Int)/NS,"B")</f>
        <v>B</v>
      </c>
    </row>
    <row r="228" spans="1:2" ht="15.75">
      <c r="A228" s="240" t="s">
        <v>329</v>
      </c>
      <c r="B228" s="148" t="str">
        <f>IFERROR((PBT_2+Int)/TA_2,"B")</f>
        <v>B</v>
      </c>
    </row>
    <row r="229" spans="1:2">
      <c r="A229" s="209" t="s">
        <v>330</v>
      </c>
      <c r="B229" s="152" t="str">
        <f>IFERROR((PBT_2+Int)/Int,"B")</f>
        <v>B</v>
      </c>
    </row>
    <row r="230" spans="1:2">
      <c r="A230" s="208"/>
    </row>
    <row r="231" spans="1:2">
      <c r="A231" s="209" t="s">
        <v>331</v>
      </c>
      <c r="B231" s="153" t="str">
        <f>IFERROR((AAR/((NS*(100-CSH)/100)/365)),"B")</f>
        <v>B</v>
      </c>
    </row>
    <row r="232" spans="1:2">
      <c r="A232" s="209" t="s">
        <v>332</v>
      </c>
      <c r="B232" s="151" t="str">
        <f>IFERROR(WHSCOGS/AVG_2,"B")</f>
        <v>B</v>
      </c>
    </row>
    <row r="233" spans="1:2">
      <c r="A233" s="209" t="s">
        <v>333</v>
      </c>
      <c r="B233" s="152" t="str">
        <f>IFERROR(365/(WHSCOGS/AVG_2),"B")</f>
        <v>B</v>
      </c>
    </row>
    <row r="234" spans="1:2">
      <c r="A234" s="209" t="s">
        <v>334</v>
      </c>
      <c r="B234" s="151" t="str">
        <f>IFERROR(WHSNS/AVG_2,"B")</f>
        <v>B</v>
      </c>
    </row>
    <row r="235" spans="1:2" ht="15.75">
      <c r="A235" s="240" t="s">
        <v>335</v>
      </c>
      <c r="B235" s="154" t="str">
        <f>IFERROR((WHSGP)/AVG_2,"B")</f>
        <v>B</v>
      </c>
    </row>
    <row r="236" spans="1:2">
      <c r="A236" s="209" t="s">
        <v>336</v>
      </c>
      <c r="B236" s="155" t="str">
        <f>IFERROR(NS/OFA,"B")</f>
        <v>B</v>
      </c>
    </row>
    <row r="237" spans="1:2">
      <c r="A237" s="208"/>
    </row>
    <row r="238" spans="1:2">
      <c r="A238" s="209" t="s">
        <v>337</v>
      </c>
      <c r="B238" s="146" t="str">
        <f>IFERROR(IF(Net&lt;&gt;"b",Net/(AAR+AVG_2-AAP),PBT/(AAR+AVG_2-AAP)),"B")</f>
        <v>B</v>
      </c>
    </row>
    <row r="239" spans="1:2">
      <c r="A239" s="209" t="s">
        <v>338</v>
      </c>
      <c r="B239" s="156" t="str">
        <f>IFERROR(Cash/CL,"B")</f>
        <v>B</v>
      </c>
    </row>
    <row r="240" spans="1:2">
      <c r="A240" s="209" t="s">
        <v>339</v>
      </c>
      <c r="B240" s="147" t="str">
        <f>IFERROR(Cash/((TE-DPR)/365),"B")</f>
        <v>B</v>
      </c>
    </row>
    <row r="241" spans="1:2">
      <c r="A241" s="209" t="s">
        <v>340</v>
      </c>
      <c r="B241" s="153" t="str">
        <f>IFERROR(NS/(CA_2-CL),"B")</f>
        <v>B</v>
      </c>
    </row>
    <row r="243" spans="1:2" ht="15.75">
      <c r="A243" s="216" t="s">
        <v>341</v>
      </c>
    </row>
    <row r="244" spans="1:2">
      <c r="A244" s="209" t="s">
        <v>342</v>
      </c>
    </row>
    <row r="245" spans="1:2">
      <c r="A245" s="241" t="s">
        <v>343</v>
      </c>
      <c r="B245" s="157" t="str">
        <f>IFERROR(NS/Emp,"B")</f>
        <v>B</v>
      </c>
    </row>
    <row r="246" spans="1:2">
      <c r="A246" s="241" t="s">
        <v>344</v>
      </c>
      <c r="B246" s="144" t="str">
        <f>IFERROR(GP_2/Emp,"B")</f>
        <v>B</v>
      </c>
    </row>
    <row r="247" spans="1:2">
      <c r="A247" s="209" t="s">
        <v>345</v>
      </c>
      <c r="B247" s="141" t="str">
        <f>IFERROR((SAL+PA_Tech)/Emp,"B")</f>
        <v>B</v>
      </c>
    </row>
    <row r="248" spans="1:2">
      <c r="A248" s="209" t="s">
        <v>346</v>
      </c>
      <c r="B248" s="141" t="str">
        <f>IFERROR((PA+PA_Tech)/Emp,"B")</f>
        <v>B</v>
      </c>
    </row>
    <row r="249" spans="1:2">
      <c r="A249" s="209" t="s">
        <v>347</v>
      </c>
      <c r="B249" s="156" t="str">
        <f>IFERROR(PA/NS,"B")</f>
        <v>B</v>
      </c>
    </row>
    <row r="250" spans="1:2">
      <c r="A250" s="209" t="s">
        <v>348</v>
      </c>
      <c r="B250" s="158" t="str">
        <f>IFERROR(IF(PA&lt;&gt;"b",(PA/GP*100),"B"),"B")</f>
        <v>B</v>
      </c>
    </row>
    <row r="251" spans="1:2">
      <c r="A251" s="217" t="s">
        <v>241</v>
      </c>
    </row>
    <row r="252" spans="1:2">
      <c r="A252" s="207" t="s">
        <v>94</v>
      </c>
      <c r="B252" s="147" t="str">
        <f>IFERROR(NS/NS*100,"B")</f>
        <v>B</v>
      </c>
    </row>
    <row r="253" spans="1:2">
      <c r="A253" s="242" t="s">
        <v>98</v>
      </c>
      <c r="B253" s="159" t="str">
        <f>IFERROR(Equip/NS*100,"B")</f>
        <v>B</v>
      </c>
    </row>
    <row r="254" spans="1:2">
      <c r="A254" s="242" t="s">
        <v>180</v>
      </c>
      <c r="B254" s="159" t="str">
        <f>IFERROR(TechWages/NS*100,"B")</f>
        <v>B</v>
      </c>
    </row>
    <row r="255" spans="1:2">
      <c r="A255" s="242" t="s">
        <v>181</v>
      </c>
      <c r="B255" s="159" t="str">
        <f>IFERROR(RentalCost/NS*100,"B")</f>
        <v>B</v>
      </c>
    </row>
    <row r="256" spans="1:2">
      <c r="A256" s="242" t="s">
        <v>182</v>
      </c>
      <c r="B256" s="159" t="str">
        <f>IFERROR(OCOGS/NS*100,"B")</f>
        <v>B</v>
      </c>
    </row>
    <row r="257" spans="1:2">
      <c r="A257" s="233" t="s">
        <v>101</v>
      </c>
      <c r="B257" s="160" t="str">
        <f>IFERROR(COGS_2/NS*100,"B")</f>
        <v>B</v>
      </c>
    </row>
    <row r="258" spans="1:2">
      <c r="A258" s="233" t="s">
        <v>102</v>
      </c>
      <c r="B258" s="160" t="str">
        <f>IFERROR(GP_2/NS*100,"B")</f>
        <v>B</v>
      </c>
    </row>
    <row r="259" spans="1:2">
      <c r="A259" s="243" t="s">
        <v>275</v>
      </c>
      <c r="B259" s="152" t="str">
        <f>IFERROR(PA_Exec/NS*100,"B")</f>
        <v>B</v>
      </c>
    </row>
    <row r="260" spans="1:2">
      <c r="A260" s="243" t="s">
        <v>349</v>
      </c>
      <c r="B260" s="153" t="str">
        <f>IFERROR(PA_Out/NS*100,"B")</f>
        <v>B</v>
      </c>
    </row>
    <row r="261" spans="1:2">
      <c r="A261" s="243" t="s">
        <v>277</v>
      </c>
      <c r="B261" s="153" t="str">
        <f>IFERROR(PA_Inside/NS*100,"B")</f>
        <v>B</v>
      </c>
    </row>
    <row r="262" spans="1:2">
      <c r="A262" s="208" t="s">
        <v>218</v>
      </c>
      <c r="B262" s="147" t="str">
        <f>IFERROR(PA_Rental/NS*100,"B")</f>
        <v>B</v>
      </c>
    </row>
    <row r="263" spans="1:2">
      <c r="A263" s="208" t="s">
        <v>216</v>
      </c>
      <c r="B263" s="147" t="str">
        <f>IFERROR(PA_Parts/NS*100,"B")</f>
        <v>B</v>
      </c>
    </row>
    <row r="264" spans="1:2">
      <c r="A264" s="208" t="s">
        <v>237</v>
      </c>
      <c r="B264" s="147" t="str">
        <f>IFERROR(PA_SVC/NS*100,"B")</f>
        <v>B</v>
      </c>
    </row>
    <row r="265" spans="1:2">
      <c r="A265" s="212" t="s">
        <v>261</v>
      </c>
      <c r="B265" s="153" t="str">
        <f>IFERROR(PA_WHS/NS*100,"B")</f>
        <v>B</v>
      </c>
    </row>
    <row r="266" spans="1:2">
      <c r="A266" s="212" t="s">
        <v>300</v>
      </c>
      <c r="B266" s="160" t="str">
        <f>IFERROR(PA_Adjust/NS*100,"B")</f>
        <v>B</v>
      </c>
    </row>
    <row r="267" spans="1:2">
      <c r="A267" s="211" t="s">
        <v>256</v>
      </c>
      <c r="B267" s="161" t="str">
        <f>IFERROR(PA_PM/NS*100,"B")</f>
        <v>B</v>
      </c>
    </row>
    <row r="268" spans="1:2">
      <c r="A268" s="211" t="s">
        <v>236</v>
      </c>
      <c r="B268" s="161" t="str">
        <f>IFERROR(PA_Tech/NS*100,"B")</f>
        <v>B</v>
      </c>
    </row>
    <row r="269" spans="1:2">
      <c r="A269" s="210"/>
    </row>
    <row r="270" spans="1:2">
      <c r="A270" s="210"/>
    </row>
    <row r="271" spans="1:2">
      <c r="A271" s="231" t="s">
        <v>183</v>
      </c>
      <c r="B271" s="152" t="str">
        <f>IFERROR(SAL/NS*100,"B")</f>
        <v>B</v>
      </c>
    </row>
    <row r="272" spans="1:2">
      <c r="A272" s="231" t="s">
        <v>184</v>
      </c>
      <c r="B272" s="153" t="str">
        <f>IFERROR(PT/NS*100,"B")</f>
        <v>B</v>
      </c>
    </row>
    <row r="273" spans="1:2">
      <c r="A273" s="231" t="s">
        <v>186</v>
      </c>
      <c r="B273" s="153" t="str">
        <f>IFERROR(GRP_INS/NS*100,"B")</f>
        <v>B</v>
      </c>
    </row>
    <row r="274" spans="1:2">
      <c r="A274" s="231" t="s">
        <v>185</v>
      </c>
      <c r="B274" s="153" t="str">
        <f>IFERROR(BENE/NS*100,"B")</f>
        <v>B</v>
      </c>
    </row>
    <row r="275" spans="1:2">
      <c r="A275" s="231" t="s">
        <v>105</v>
      </c>
      <c r="B275" s="153" t="str">
        <f>IFERROR(PA/NS*100,"B")</f>
        <v>B</v>
      </c>
    </row>
    <row r="276" spans="1:2">
      <c r="A276" s="208" t="s">
        <v>96</v>
      </c>
      <c r="B276" s="152" t="str">
        <f>IFERROR(UT/NS*100,"B")</f>
        <v>B</v>
      </c>
    </row>
    <row r="277" spans="1:2">
      <c r="A277" s="244" t="s">
        <v>249</v>
      </c>
      <c r="B277" s="153" t="str">
        <f>IFERROR(Tele/NS*100,"B")</f>
        <v>B</v>
      </c>
    </row>
    <row r="278" spans="1:2">
      <c r="A278" s="208" t="s">
        <v>95</v>
      </c>
      <c r="B278" s="153" t="str">
        <f>IFERROR(RM/NS*100,"B")</f>
        <v>B</v>
      </c>
    </row>
    <row r="279" spans="1:2">
      <c r="A279" s="208" t="s">
        <v>97</v>
      </c>
      <c r="B279" s="153" t="str">
        <f>IFERROR(Rent/NS*100,"B")</f>
        <v>B</v>
      </c>
    </row>
    <row r="280" spans="1:2">
      <c r="A280" s="231" t="s">
        <v>187</v>
      </c>
      <c r="B280" s="153" t="str">
        <f>IFERROR(OC/NS*100,"B")</f>
        <v>B</v>
      </c>
    </row>
    <row r="281" spans="1:2">
      <c r="A281" s="208" t="s">
        <v>188</v>
      </c>
      <c r="B281" s="153" t="str">
        <f>IFERROR(VEH/NS*100,"B")</f>
        <v>B</v>
      </c>
    </row>
    <row r="282" spans="1:2">
      <c r="A282" s="208" t="s">
        <v>99</v>
      </c>
      <c r="B282" s="152" t="str">
        <f>IFERROR(Ins/NS*100,"B")</f>
        <v>B</v>
      </c>
    </row>
    <row r="283" spans="1:2">
      <c r="A283" s="208" t="s">
        <v>100</v>
      </c>
      <c r="B283" s="153" t="str">
        <f>IFERROR(DPR/NS*100,"B")</f>
        <v>B</v>
      </c>
    </row>
    <row r="284" spans="1:2">
      <c r="A284" s="208" t="s">
        <v>189</v>
      </c>
      <c r="B284" s="153" t="str">
        <f>IFERROR(TRN/NS*100,"B")</f>
        <v>B</v>
      </c>
    </row>
    <row r="285" spans="1:2">
      <c r="A285" s="208" t="s">
        <v>190</v>
      </c>
      <c r="B285" s="153" t="str">
        <f>IFERROR(MIS/NS*100,"B")</f>
        <v>B</v>
      </c>
    </row>
    <row r="286" spans="1:2">
      <c r="A286" s="208" t="s">
        <v>106</v>
      </c>
      <c r="B286" s="153" t="str">
        <f>IFERROR(AD/NS*100,"B")</f>
        <v>B</v>
      </c>
    </row>
    <row r="287" spans="1:2">
      <c r="A287" s="210"/>
    </row>
    <row r="288" spans="1:2">
      <c r="A288" s="210"/>
    </row>
    <row r="289" spans="1:2">
      <c r="A289" s="210"/>
    </row>
    <row r="290" spans="1:2">
      <c r="A290" s="208" t="s">
        <v>107</v>
      </c>
      <c r="B290" s="153" t="str">
        <f>IFERROR(OE/NS*100,"B")</f>
        <v>B</v>
      </c>
    </row>
    <row r="291" spans="1:2">
      <c r="A291" s="231" t="s">
        <v>108</v>
      </c>
      <c r="B291" s="153" t="str">
        <f>IFERROR(TOE/NS*100,"B")</f>
        <v>B</v>
      </c>
    </row>
    <row r="292" spans="1:2">
      <c r="A292" s="233" t="s">
        <v>109</v>
      </c>
      <c r="B292" s="153" t="str">
        <f>IFERROR(TE/NS*100,"B")</f>
        <v>B</v>
      </c>
    </row>
    <row r="293" spans="1:2">
      <c r="A293" s="233" t="s">
        <v>110</v>
      </c>
      <c r="B293" s="160" t="str">
        <f>IFERROR(OP_2/NS*100,"B")</f>
        <v>B</v>
      </c>
    </row>
    <row r="294" spans="1:2">
      <c r="A294" s="231" t="s">
        <v>111</v>
      </c>
      <c r="B294" s="153" t="str">
        <f>IFERROR(OI/NS*100,"B")</f>
        <v>B</v>
      </c>
    </row>
    <row r="295" spans="1:2">
      <c r="A295" s="231" t="s">
        <v>112</v>
      </c>
      <c r="B295" s="153" t="str">
        <f>IFERROR(Int/NS*100,"B")</f>
        <v>B</v>
      </c>
    </row>
    <row r="296" spans="1:2">
      <c r="A296" s="231" t="s">
        <v>113</v>
      </c>
      <c r="B296" s="153" t="str">
        <f>IFERROR(Oex/NS*100,"B")</f>
        <v>B</v>
      </c>
    </row>
    <row r="297" spans="1:2">
      <c r="A297" s="213" t="s">
        <v>291</v>
      </c>
    </row>
    <row r="298" spans="1:2">
      <c r="A298" s="214" t="s">
        <v>292</v>
      </c>
    </row>
    <row r="299" spans="1:2">
      <c r="A299" s="214" t="s">
        <v>293</v>
      </c>
    </row>
    <row r="300" spans="1:2">
      <c r="A300" s="233" t="s">
        <v>114</v>
      </c>
      <c r="B300" s="160" t="str">
        <f>IFERROR(PBT_2/NS*100,"B")</f>
        <v>B</v>
      </c>
    </row>
    <row r="301" spans="1:2">
      <c r="A301" s="218" t="s">
        <v>350</v>
      </c>
    </row>
    <row r="302" spans="1:2">
      <c r="A302" s="208" t="s">
        <v>103</v>
      </c>
      <c r="B302" s="152" t="str">
        <f>IFERROR(PA_Exec/GP_2*100,"B")</f>
        <v>B</v>
      </c>
    </row>
    <row r="303" spans="1:2">
      <c r="A303" s="208" t="s">
        <v>104</v>
      </c>
      <c r="B303" s="153" t="str">
        <f>IFERROR(PA_Out/GP_2*100,"B")</f>
        <v>B</v>
      </c>
    </row>
    <row r="304" spans="1:2">
      <c r="A304" s="208" t="s">
        <v>235</v>
      </c>
      <c r="B304" s="153" t="str">
        <f>IFERROR(PA_Inside/GP_2*100,"B")</f>
        <v>B</v>
      </c>
    </row>
    <row r="305" spans="1:2">
      <c r="A305" s="208" t="s">
        <v>218</v>
      </c>
      <c r="B305" s="147" t="str">
        <f>IFERROR(PA_Rental/GP_2*100,"B")</f>
        <v>B</v>
      </c>
    </row>
    <row r="306" spans="1:2">
      <c r="A306" s="208" t="s">
        <v>216</v>
      </c>
      <c r="B306" s="147" t="str">
        <f>IFERROR(PA_Parts/GP_2*100,"B")</f>
        <v>B</v>
      </c>
    </row>
    <row r="307" spans="1:2">
      <c r="A307" s="208" t="s">
        <v>237</v>
      </c>
      <c r="B307" s="147" t="str">
        <f>IFERROR(PA_SVC/GP_2*100,"B")</f>
        <v>B</v>
      </c>
    </row>
    <row r="308" spans="1:2">
      <c r="A308" s="208" t="s">
        <v>261</v>
      </c>
      <c r="B308" s="153" t="str">
        <f>IFERROR(PA_WHS/GP_2*100,"B")</f>
        <v>B</v>
      </c>
    </row>
    <row r="309" spans="1:2">
      <c r="A309" s="208" t="s">
        <v>219</v>
      </c>
      <c r="B309" s="147" t="str">
        <f>IFERROR(PA_Adjust/GP_2*100,"B")</f>
        <v>B</v>
      </c>
    </row>
    <row r="310" spans="1:2">
      <c r="A310" s="211" t="s">
        <v>256</v>
      </c>
      <c r="B310" s="161" t="str">
        <f>IFERROR(PA_PM/GP_2*100,"B")</f>
        <v>B</v>
      </c>
    </row>
    <row r="311" spans="1:2">
      <c r="A311" s="211" t="s">
        <v>236</v>
      </c>
      <c r="B311" s="161" t="str">
        <f>IFERROR(PA_Tech/GP_2*100,"B")</f>
        <v>B</v>
      </c>
    </row>
    <row r="312" spans="1:2">
      <c r="A312" s="210"/>
    </row>
    <row r="313" spans="1:2">
      <c r="A313" s="210"/>
    </row>
    <row r="314" spans="1:2">
      <c r="A314" s="231" t="s">
        <v>183</v>
      </c>
      <c r="B314" s="152" t="str">
        <f>IFERROR(SAL/GP_2*100,"B")</f>
        <v>B</v>
      </c>
    </row>
    <row r="315" spans="1:2">
      <c r="A315" s="231" t="s">
        <v>184</v>
      </c>
      <c r="B315" s="153" t="str">
        <f>IFERROR(PT/GP_2*100,"B")</f>
        <v>B</v>
      </c>
    </row>
    <row r="316" spans="1:2">
      <c r="A316" s="231" t="s">
        <v>186</v>
      </c>
      <c r="B316" s="153" t="str">
        <f>IFERROR(GRP_INS/GP_2*100,"B")</f>
        <v>B</v>
      </c>
    </row>
    <row r="317" spans="1:2">
      <c r="A317" s="231" t="s">
        <v>185</v>
      </c>
      <c r="B317" s="153" t="str">
        <f>IFERROR(BENE/GP_2*100,"B")</f>
        <v>B</v>
      </c>
    </row>
    <row r="318" spans="1:2">
      <c r="A318" s="231" t="s">
        <v>105</v>
      </c>
      <c r="B318" s="153" t="str">
        <f>IFERROR(PA/GP_2*100,"B")</f>
        <v>B</v>
      </c>
    </row>
    <row r="319" spans="1:2">
      <c r="A319" s="208" t="s">
        <v>96</v>
      </c>
      <c r="B319" s="152" t="str">
        <f>IFERROR(UT/GP_2*100,"B")</f>
        <v>B</v>
      </c>
    </row>
    <row r="320" spans="1:2">
      <c r="A320" s="244" t="s">
        <v>249</v>
      </c>
      <c r="B320" s="153" t="str">
        <f>IFERROR(Tele/GP_2*100,"B")</f>
        <v>B</v>
      </c>
    </row>
    <row r="321" spans="1:2">
      <c r="A321" s="208" t="s">
        <v>95</v>
      </c>
      <c r="B321" s="153" t="str">
        <f>IFERROR(RM/GP_2*100,"B")</f>
        <v>B</v>
      </c>
    </row>
    <row r="322" spans="1:2">
      <c r="A322" s="208" t="s">
        <v>97</v>
      </c>
      <c r="B322" s="153" t="str">
        <f>IFERROR(Rent/GP_2*100,"B")</f>
        <v>B</v>
      </c>
    </row>
    <row r="323" spans="1:2">
      <c r="A323" s="231" t="s">
        <v>187</v>
      </c>
      <c r="B323" s="153" t="str">
        <f>IFERROR(OC/GP_2*100,"B")</f>
        <v>B</v>
      </c>
    </row>
    <row r="324" spans="1:2">
      <c r="A324" s="208" t="s">
        <v>188</v>
      </c>
      <c r="B324" s="153" t="str">
        <f>IFERROR(VEH/GP_2*100,"B")</f>
        <v>B</v>
      </c>
    </row>
    <row r="325" spans="1:2">
      <c r="A325" s="208" t="s">
        <v>99</v>
      </c>
      <c r="B325" s="152" t="str">
        <f>IFERROR(Ins/GP_2*100,"B")</f>
        <v>B</v>
      </c>
    </row>
    <row r="326" spans="1:2">
      <c r="A326" s="208" t="s">
        <v>100</v>
      </c>
      <c r="B326" s="153" t="str">
        <f>IFERROR(DPR/GP_2*100,"B")</f>
        <v>B</v>
      </c>
    </row>
    <row r="327" spans="1:2">
      <c r="A327" s="208" t="s">
        <v>189</v>
      </c>
      <c r="B327" s="153" t="str">
        <f>IFERROR(TRN/GP_2*100,"B")</f>
        <v>B</v>
      </c>
    </row>
    <row r="328" spans="1:2">
      <c r="A328" s="208" t="s">
        <v>190</v>
      </c>
      <c r="B328" s="153" t="str">
        <f>IFERROR(MIS/GP_2*100,"B")</f>
        <v>B</v>
      </c>
    </row>
    <row r="329" spans="1:2">
      <c r="A329" s="208" t="s">
        <v>106</v>
      </c>
      <c r="B329" s="153" t="str">
        <f>IFERROR(AD/GP_2*100,"B")</f>
        <v>B</v>
      </c>
    </row>
    <row r="330" spans="1:2">
      <c r="A330" s="210"/>
    </row>
    <row r="331" spans="1:2">
      <c r="A331" s="210"/>
    </row>
    <row r="332" spans="1:2">
      <c r="A332" s="210"/>
    </row>
    <row r="333" spans="1:2">
      <c r="A333" s="208" t="s">
        <v>107</v>
      </c>
      <c r="B333" s="153" t="str">
        <f>IFERROR(OE/GP_2*100,"B")</f>
        <v>B</v>
      </c>
    </row>
    <row r="334" spans="1:2">
      <c r="A334" s="231" t="s">
        <v>108</v>
      </c>
      <c r="B334" s="153" t="str">
        <f>IFERROR(TOE/GP_2*100,"B")</f>
        <v>B</v>
      </c>
    </row>
    <row r="335" spans="1:2">
      <c r="A335" s="233" t="s">
        <v>109</v>
      </c>
      <c r="B335" s="153" t="str">
        <f>IFERROR(TE/GP_2*100,"B")</f>
        <v>B</v>
      </c>
    </row>
    <row r="336" spans="1:2">
      <c r="A336" s="233" t="s">
        <v>110</v>
      </c>
      <c r="B336" s="153" t="str">
        <f>IFERROR(OP_2/GP_2*100,"B")</f>
        <v>B</v>
      </c>
    </row>
    <row r="337" spans="1:2">
      <c r="A337" s="231" t="s">
        <v>111</v>
      </c>
      <c r="B337" s="153" t="str">
        <f>IFERROR(OI/GP_2*100,"B")</f>
        <v>B</v>
      </c>
    </row>
    <row r="338" spans="1:2">
      <c r="A338" s="231" t="s">
        <v>112</v>
      </c>
      <c r="B338" s="153" t="str">
        <f>IFERROR(Int/GP_2*100,"B")</f>
        <v>B</v>
      </c>
    </row>
    <row r="339" spans="1:2">
      <c r="A339" s="231" t="s">
        <v>113</v>
      </c>
      <c r="B339" s="153" t="str">
        <f>IFERROR(Oex/GP_2*100,"B")</f>
        <v>B</v>
      </c>
    </row>
    <row r="340" spans="1:2">
      <c r="A340" s="213" t="s">
        <v>291</v>
      </c>
    </row>
    <row r="341" spans="1:2">
      <c r="A341" s="214" t="s">
        <v>292</v>
      </c>
    </row>
    <row r="342" spans="1:2">
      <c r="A342" s="214" t="s">
        <v>293</v>
      </c>
    </row>
    <row r="343" spans="1:2">
      <c r="A343" s="233" t="s">
        <v>114</v>
      </c>
      <c r="B343" s="153" t="str">
        <f>IFERROR(PBT_2/GP_2*100,"B")</f>
        <v>B</v>
      </c>
    </row>
    <row r="344" spans="1:2">
      <c r="A344" s="218" t="s">
        <v>240</v>
      </c>
    </row>
    <row r="345" spans="1:2">
      <c r="A345" s="208" t="s">
        <v>80</v>
      </c>
      <c r="B345" s="152" t="str">
        <f>IFERROR(Cash/TA_2*100,"B")</f>
        <v>B</v>
      </c>
    </row>
    <row r="346" spans="1:2">
      <c r="A346" s="208" t="s">
        <v>81</v>
      </c>
      <c r="B346" s="152" t="str">
        <f>IFERROR(AR/TA_2*100,"B")</f>
        <v>B</v>
      </c>
    </row>
    <row r="347" spans="1:2">
      <c r="A347" s="208" t="s">
        <v>176</v>
      </c>
      <c r="B347" s="152" t="str">
        <f>IFERROR(NEWINV/TA_2*100,"B")</f>
        <v>B</v>
      </c>
    </row>
    <row r="348" spans="1:2">
      <c r="A348" s="208" t="s">
        <v>177</v>
      </c>
      <c r="B348" s="152" t="str">
        <f>IFERROR(USEDINV/TA_2*100,"B")</f>
        <v>B</v>
      </c>
    </row>
    <row r="349" spans="1:2">
      <c r="A349" s="242" t="s">
        <v>351</v>
      </c>
      <c r="B349" s="197" t="s">
        <v>295</v>
      </c>
    </row>
    <row r="350" spans="1:2">
      <c r="A350" s="208" t="s">
        <v>178</v>
      </c>
      <c r="B350" s="152" t="str">
        <f>IFERROR(PARTSINV/TA_2*100,"B")</f>
        <v>B</v>
      </c>
    </row>
    <row r="351" spans="1:2">
      <c r="A351" s="208" t="s">
        <v>179</v>
      </c>
      <c r="B351" s="152" t="str">
        <f>IFERROR(OINV/TA_2*100,"B")</f>
        <v>B</v>
      </c>
    </row>
    <row r="352" spans="1:2">
      <c r="A352" s="208" t="s">
        <v>82</v>
      </c>
      <c r="B352" s="152" t="str">
        <f>IFERROR(INV_2/TA_2*100,"B")</f>
        <v>B</v>
      </c>
    </row>
    <row r="353" spans="1:2">
      <c r="A353" s="208" t="s">
        <v>83</v>
      </c>
      <c r="B353" s="152" t="str">
        <f>IFERROR(Oca/TA_2*100,"B")</f>
        <v>B</v>
      </c>
    </row>
    <row r="354" spans="1:2">
      <c r="A354" s="207" t="s">
        <v>79</v>
      </c>
      <c r="B354" s="152" t="str">
        <f>IFERROR(CA_2/TA_2*100,"B")</f>
        <v>B</v>
      </c>
    </row>
    <row r="355" spans="1:2">
      <c r="A355" s="242" t="s">
        <v>84</v>
      </c>
      <c r="B355" s="152" t="str">
        <f>IFERROR(IF(Fixed&lt;&gt;0,Fixed/TA_2*100,"B"),"b")</f>
        <v>b</v>
      </c>
    </row>
    <row r="356" spans="1:2">
      <c r="A356" s="208" t="s">
        <v>85</v>
      </c>
      <c r="B356" s="152" t="str">
        <f>IFERROR(OFA/TA_2*100,"B")</f>
        <v>B</v>
      </c>
    </row>
    <row r="357" spans="1:2">
      <c r="A357" s="207" t="s">
        <v>78</v>
      </c>
      <c r="B357" s="152" t="str">
        <f>IFERROR(TA_2/TA_2*100,"B")</f>
        <v>B</v>
      </c>
    </row>
    <row r="358" spans="1:2">
      <c r="A358" s="208" t="s">
        <v>87</v>
      </c>
      <c r="B358" s="152" t="str">
        <f>IFERROR(AP/TA_2*100,"B")</f>
        <v>B</v>
      </c>
    </row>
    <row r="359" spans="1:2">
      <c r="A359" s="208" t="s">
        <v>88</v>
      </c>
      <c r="B359" s="152" t="str">
        <f>IFERROR(NP/TA_2*100,"B")</f>
        <v>B</v>
      </c>
    </row>
    <row r="360" spans="1:2">
      <c r="A360" s="208" t="s">
        <v>89</v>
      </c>
      <c r="B360" s="152" t="str">
        <f>IFERROR(Ocl/TA_2*100,"B")</f>
        <v>B</v>
      </c>
    </row>
    <row r="361" spans="1:2">
      <c r="A361" s="207" t="s">
        <v>86</v>
      </c>
      <c r="B361" s="152" t="str">
        <f>IFERROR(CL/TA_2*100,"B")</f>
        <v>B</v>
      </c>
    </row>
    <row r="362" spans="1:2">
      <c r="A362" s="208" t="s">
        <v>90</v>
      </c>
      <c r="B362" s="152" t="str">
        <f>IFERROR(LTL/TA_2*100,"B")</f>
        <v>B</v>
      </c>
    </row>
    <row r="363" spans="1:2">
      <c r="A363" s="208" t="s">
        <v>91</v>
      </c>
      <c r="B363" s="162" t="str">
        <f>IFERROR(Loan/TA_2*100,"B")</f>
        <v>B</v>
      </c>
    </row>
    <row r="364" spans="1:2">
      <c r="A364" s="208" t="s">
        <v>92</v>
      </c>
      <c r="B364" s="162" t="str">
        <f>IFERROR(Eqty/TA_2*100,"B")</f>
        <v>B</v>
      </c>
    </row>
    <row r="365" spans="1:2">
      <c r="A365" s="207" t="s">
        <v>93</v>
      </c>
      <c r="B365" s="152" t="str">
        <f>B357</f>
        <v>B</v>
      </c>
    </row>
    <row r="366" spans="1:2">
      <c r="A366" s="207"/>
    </row>
    <row r="368" spans="1:2" ht="15.75">
      <c r="A368" s="216" t="s">
        <v>352</v>
      </c>
    </row>
    <row r="369" spans="1:2">
      <c r="A369" s="219" t="s">
        <v>353</v>
      </c>
      <c r="B369" s="163">
        <f>IFERROR((PA_Parts+PA_SVC+PA_Rental)*(1+Burden_Pct),"B")</f>
        <v>0</v>
      </c>
    </row>
    <row r="370" spans="1:2">
      <c r="A370" s="219" t="s">
        <v>354</v>
      </c>
      <c r="B370" s="164" t="str">
        <f>IFERROR((NS_Counter+NS_SVC+NS_RENT)/NS*(OC),"B")</f>
        <v>B</v>
      </c>
    </row>
    <row r="371" spans="1:2">
      <c r="A371" s="219" t="s">
        <v>355</v>
      </c>
      <c r="B371" s="164" t="str">
        <f>IFERROR((NS_Counter+NS_SVC+NS_RENT)/NS*(TOE),"B")</f>
        <v>B</v>
      </c>
    </row>
    <row r="372" spans="1:2">
      <c r="A372" s="220" t="s">
        <v>356</v>
      </c>
    </row>
    <row r="373" spans="1:2">
      <c r="A373" s="208" t="s">
        <v>191</v>
      </c>
      <c r="B373" s="165" t="str">
        <f>IFERROR(NS_New/NS*100,"B")</f>
        <v>B</v>
      </c>
    </row>
    <row r="374" spans="1:2">
      <c r="A374" s="208" t="s">
        <v>192</v>
      </c>
      <c r="B374" s="165" t="str">
        <f>IFERROR(NS_Used/NS*100,"B")</f>
        <v>B</v>
      </c>
    </row>
    <row r="375" spans="1:2">
      <c r="A375" s="231" t="s">
        <v>193</v>
      </c>
      <c r="B375" s="165" t="str">
        <f>IFERROR(NS_SH/NS*100,"B")</f>
        <v>B</v>
      </c>
    </row>
    <row r="376" spans="1:2">
      <c r="A376" s="231" t="s">
        <v>194</v>
      </c>
      <c r="B376" s="165" t="str">
        <f>IFERROR(NS_ES/NS*100,"B")</f>
        <v>B</v>
      </c>
    </row>
    <row r="377" spans="1:2">
      <c r="A377" s="231" t="s">
        <v>265</v>
      </c>
      <c r="B377" s="166" t="str">
        <f>IFERROR(NS_Install/NS*100,"B")</f>
        <v>B</v>
      </c>
    </row>
    <row r="378" spans="1:2">
      <c r="A378" s="208" t="s">
        <v>195</v>
      </c>
      <c r="B378" s="165" t="str">
        <f>IFERROR(NS_Counter/NS*100,"B")</f>
        <v>B</v>
      </c>
    </row>
    <row r="379" spans="1:2">
      <c r="A379" s="233" t="s">
        <v>523</v>
      </c>
      <c r="B379" s="257" t="str">
        <f>IFERROR(B375+B376,"B")</f>
        <v>B</v>
      </c>
    </row>
    <row r="380" spans="1:2">
      <c r="A380" s="242" t="s">
        <v>357</v>
      </c>
      <c r="B380" s="2" t="s">
        <v>244</v>
      </c>
    </row>
    <row r="381" spans="1:2">
      <c r="A381" s="242" t="s">
        <v>358</v>
      </c>
      <c r="B381" s="2" t="s">
        <v>244</v>
      </c>
    </row>
    <row r="382" spans="1:2">
      <c r="A382" s="231" t="s">
        <v>196</v>
      </c>
      <c r="B382" s="165" t="str">
        <f>IFERROR(NS_SVC/NS*100,"B")</f>
        <v>B</v>
      </c>
    </row>
    <row r="383" spans="1:2">
      <c r="A383" s="208" t="s">
        <v>197</v>
      </c>
      <c r="B383" s="165" t="str">
        <f>IFERROR(NS_RENT/NS*100,"B")</f>
        <v>B</v>
      </c>
    </row>
    <row r="384" spans="1:2">
      <c r="A384" s="231" t="s">
        <v>198</v>
      </c>
      <c r="B384" s="201" t="str">
        <f>IFERROR(B380+B381,"B")</f>
        <v>B</v>
      </c>
    </row>
    <row r="386" spans="1:2">
      <c r="A386" s="207" t="s">
        <v>359</v>
      </c>
    </row>
    <row r="387" spans="1:2">
      <c r="A387" s="236" t="s">
        <v>199</v>
      </c>
      <c r="B387" s="203" t="str">
        <f>IFERROR(GP_New/NS_New,"B")</f>
        <v>B</v>
      </c>
    </row>
    <row r="388" spans="1:2">
      <c r="A388" s="236" t="s">
        <v>200</v>
      </c>
      <c r="B388" s="203" t="str">
        <f>IFERROR(GP_Used/NS_Used,"B")</f>
        <v>B</v>
      </c>
    </row>
    <row r="389" spans="1:2">
      <c r="A389" s="236" t="s">
        <v>201</v>
      </c>
      <c r="B389" s="203" t="str">
        <f>IFERROR(GP_SH/NS_SH,"B")</f>
        <v>B</v>
      </c>
    </row>
    <row r="390" spans="1:2">
      <c r="A390" s="236" t="s">
        <v>202</v>
      </c>
      <c r="B390" s="253" t="str">
        <f>IFERROR(GP_ES/NS_ES,"B")</f>
        <v>B</v>
      </c>
    </row>
    <row r="391" spans="1:2">
      <c r="A391" s="245" t="s">
        <v>267</v>
      </c>
      <c r="B391" s="167" t="str">
        <f>IFERROR(GP_Install/NS_Install,"B")</f>
        <v>B</v>
      </c>
    </row>
    <row r="392" spans="1:2">
      <c r="A392" s="236" t="s">
        <v>203</v>
      </c>
      <c r="B392" s="253" t="str">
        <f>IFERROR(GP_Counter/NS_Counter,"B")</f>
        <v>B</v>
      </c>
    </row>
    <row r="393" spans="1:2">
      <c r="A393" s="246" t="s">
        <v>524</v>
      </c>
      <c r="B393" s="202" t="str">
        <f>IFERROR(((NS_SH+NS_ES)-(COGS_SH+COGS_ES))/(NS_SH+NS_ES),"B")</f>
        <v>B</v>
      </c>
    </row>
    <row r="394" spans="1:2">
      <c r="A394" s="247" t="s">
        <v>360</v>
      </c>
      <c r="B394" s="2" t="s">
        <v>244</v>
      </c>
    </row>
    <row r="395" spans="1:2">
      <c r="A395" s="247" t="s">
        <v>361</v>
      </c>
      <c r="B395" s="2" t="s">
        <v>244</v>
      </c>
    </row>
    <row r="396" spans="1:2">
      <c r="A396" s="245" t="s">
        <v>204</v>
      </c>
      <c r="B396" s="252" t="str">
        <f>IFERROR(GP_SVC/NS_SVC,"B")</f>
        <v>B</v>
      </c>
    </row>
    <row r="397" spans="1:2">
      <c r="A397" s="236" t="s">
        <v>205</v>
      </c>
      <c r="B397" s="253" t="str">
        <f>IFERROR(GP_Rent/NS_RENT,"B")</f>
        <v>B</v>
      </c>
    </row>
    <row r="398" spans="1:2">
      <c r="A398" s="245" t="s">
        <v>206</v>
      </c>
      <c r="B398" s="252" t="str">
        <f>IFERROR(GP_OTH/NS_OTH,"B")</f>
        <v>B</v>
      </c>
    </row>
    <row r="399" spans="1:2">
      <c r="A399" s="231" t="s">
        <v>379</v>
      </c>
      <c r="B399" s="252" t="str">
        <f>IFERROR(GP_2/NS,"B")</f>
        <v>B</v>
      </c>
    </row>
    <row r="401" spans="1:2">
      <c r="A401" s="236" t="s">
        <v>362</v>
      </c>
    </row>
    <row r="403" spans="1:2">
      <c r="A403" s="208" t="s">
        <v>363</v>
      </c>
      <c r="B403" s="14" t="str">
        <f>IFERROR(IF(SUM(NS_New+NS_Used+NS_SH+NS_ES+NS_Counter)&gt;0,SUM(NS_New+NS_Used+NS_SH+NS_ES+NS_Counter),"B"),"B")</f>
        <v>B</v>
      </c>
    </row>
    <row r="404" spans="1:2">
      <c r="A404" s="208" t="s">
        <v>364</v>
      </c>
      <c r="B404" s="14" t="str">
        <f>IFERROR(IF(SUM(COGS_New+COGS_Used+COGS_SH+COGS_ES+COGS_Counter)&gt;0,SUM(COGS_New+COGS_Used+COGS_SH+COGS_ES+COGS_Counter),"B"),"B")</f>
        <v>B</v>
      </c>
    </row>
    <row r="405" spans="1:2">
      <c r="A405" s="208" t="s">
        <v>365</v>
      </c>
      <c r="B405" s="14" t="str">
        <f>IFERROR(IF(B403-B404&gt;0,B403-B404,"B"),"B")</f>
        <v>B</v>
      </c>
    </row>
    <row r="406" spans="1:2">
      <c r="A406" s="208" t="s">
        <v>335</v>
      </c>
      <c r="B406" s="168" t="str">
        <f>IFERROR(WHSGP/AVG_2,"B")</f>
        <v>B</v>
      </c>
    </row>
    <row r="408" spans="1:2">
      <c r="A408" s="236" t="s">
        <v>366</v>
      </c>
      <c r="B408" s="168" t="str">
        <f>IFERROR(WHSGP/WHSNS,"B")</f>
        <v>B</v>
      </c>
    </row>
    <row r="409" spans="1:2">
      <c r="A409" s="236" t="s">
        <v>367</v>
      </c>
      <c r="B409" s="168" t="str">
        <f>IFERROR(B408*B234,"B")</f>
        <v>B</v>
      </c>
    </row>
    <row r="411" spans="1:2">
      <c r="A411" s="207" t="s">
        <v>368</v>
      </c>
    </row>
    <row r="412" spans="1:2">
      <c r="A412" s="208" t="s">
        <v>369</v>
      </c>
      <c r="B412" s="169" t="str">
        <f>IF(SUM(NS_Counter+NS_SVC+NS_RENT)&gt;0,SUM(NS_Counter+NS_SVC+NS_RENT),"B")</f>
        <v>B</v>
      </c>
    </row>
    <row r="413" spans="1:2">
      <c r="A413" s="208" t="s">
        <v>370</v>
      </c>
      <c r="B413" s="169" t="str">
        <f>IF(SUM(COGS_Counter+COGS_SVC+COGS_Rent)&gt;0,SUM(COGS_Counter+COGS_SVC+COGS_Rent),"B")</f>
        <v>B</v>
      </c>
    </row>
    <row r="414" spans="1:2">
      <c r="A414" s="208" t="s">
        <v>371</v>
      </c>
      <c r="B414" s="14">
        <f>IFERROR(SUM(NS_Counter+NS_SVC+NS_RENT)-SUM(COGS_Counter+COGS_SVC+COGS_Rent),"B")</f>
        <v>0</v>
      </c>
    </row>
    <row r="415" spans="1:2">
      <c r="A415" s="208" t="s">
        <v>372</v>
      </c>
      <c r="B415" s="163">
        <f>IFERROR((PA_Parts+PA_SVC+PA_Rental)*(1+Burden_Pct),"B")</f>
        <v>0</v>
      </c>
    </row>
    <row r="416" spans="1:2">
      <c r="A416" s="212" t="s">
        <v>373</v>
      </c>
      <c r="B416" s="164" t="str">
        <f>IFERROR((NS_Counter+NS_SVC+NS_RENT)/NS*(OC),"B")</f>
        <v>B</v>
      </c>
    </row>
    <row r="417" spans="1:2">
      <c r="A417" s="208" t="s">
        <v>374</v>
      </c>
      <c r="B417" s="164" t="str">
        <f>IFERROR((NS_Counter+NS_SVC+NS_RENT)/NS*(TOE),"B")</f>
        <v>B</v>
      </c>
    </row>
    <row r="418" spans="1:2">
      <c r="A418" s="208" t="s">
        <v>375</v>
      </c>
      <c r="B418" s="170" t="str">
        <f>IFERROR(B415+B416+B417,"B")</f>
        <v>B</v>
      </c>
    </row>
    <row r="419" spans="1:2">
      <c r="A419" s="208" t="s">
        <v>376</v>
      </c>
      <c r="B419" s="171" t="str">
        <f>IFERROR(IF(AND(B414&lt;&gt;"B",B418&lt;&gt;"B"),B414-B418,"B"),"B")</f>
        <v>B</v>
      </c>
    </row>
    <row r="420" spans="1:2">
      <c r="A420" s="207" t="s">
        <v>377</v>
      </c>
    </row>
    <row r="421" spans="1:2">
      <c r="A421" s="208" t="s">
        <v>369</v>
      </c>
      <c r="B421" s="172">
        <v>1</v>
      </c>
    </row>
    <row r="422" spans="1:2">
      <c r="A422" s="221" t="s">
        <v>370</v>
      </c>
      <c r="B422" s="173" t="str">
        <f>IFERROR(SUM(COGS_Counter+COGS_SVC+COGS_Rent)/SUM(NS_Counter+NS_SVC+NS_RENT)*100,"B")</f>
        <v>B</v>
      </c>
    </row>
    <row r="423" spans="1:2">
      <c r="A423" s="208" t="s">
        <v>371</v>
      </c>
      <c r="B423" s="165" t="str">
        <f>IFERROR(((SUM(NS_Counter+NS_SVC+NS_RENT)-SUM(COGS_Counter+COGS_SVC+COGS_Rent))/SUM(NS_Counter+NS_SVC+NS_RENT)*100),"B")</f>
        <v>B</v>
      </c>
    </row>
    <row r="424" spans="1:2">
      <c r="A424" s="221" t="s">
        <v>372</v>
      </c>
      <c r="B424" s="174" t="str">
        <f>IFERROR(((PA_Parts+PA_SVC+PA_Rental)*(1+Burden_Pct)/SUM(NS_Counter+NS_SVC+NS_RENT)*100),"B")</f>
        <v>B</v>
      </c>
    </row>
    <row r="425" spans="1:2">
      <c r="A425" s="221" t="s">
        <v>373</v>
      </c>
      <c r="B425" s="175" t="str">
        <f>IFERROR((NS_Counter+NS_SVC+NS_RENT)/NS*(OC)/SUM(NS_Counter+NS_SVC+NS_RENT)*100,"B")</f>
        <v>B</v>
      </c>
    </row>
    <row r="426" spans="1:2">
      <c r="A426" s="221" t="s">
        <v>374</v>
      </c>
      <c r="B426" s="176" t="str">
        <f>IFERROR((NS_Counter+NS_SVC+NS_RENT)/NS*(TOE)/SUM(NS_Counter+NS_SVC+NS_RENT)*100,"B")</f>
        <v>B</v>
      </c>
    </row>
    <row r="427" spans="1:2">
      <c r="A427" s="208" t="s">
        <v>375</v>
      </c>
      <c r="B427" s="177" t="str">
        <f>IFERROR(B424+B425+B426,"B")</f>
        <v>B</v>
      </c>
    </row>
    <row r="428" spans="1:2">
      <c r="A428" s="221" t="s">
        <v>378</v>
      </c>
      <c r="B428" s="9" t="s">
        <v>295</v>
      </c>
    </row>
    <row r="429" spans="1:2">
      <c r="A429" s="208" t="s">
        <v>379</v>
      </c>
      <c r="B429" s="178" t="str">
        <f>IFERROR(GP_2/NS,"B")</f>
        <v>B</v>
      </c>
    </row>
    <row r="430" spans="1:2">
      <c r="A430" s="222" t="s">
        <v>380</v>
      </c>
      <c r="B430" s="168" t="str">
        <f>IFERROR(B414/GP_2,"B")</f>
        <v>B</v>
      </c>
    </row>
    <row r="431" spans="1:2">
      <c r="A431" s="217" t="s">
        <v>381</v>
      </c>
    </row>
    <row r="432" spans="1:2">
      <c r="A432" s="208" t="s">
        <v>382</v>
      </c>
      <c r="B432" s="168" t="str">
        <f>IFERROR(B414/TE,"B")</f>
        <v>B</v>
      </c>
    </row>
    <row r="433" spans="1:2">
      <c r="A433" s="208" t="s">
        <v>383</v>
      </c>
      <c r="B433" s="168" t="str">
        <f>IFERROR(B414/(TE-PA_Out),"B")</f>
        <v>B</v>
      </c>
    </row>
    <row r="434" spans="1:2">
      <c r="A434" s="208" t="s">
        <v>384</v>
      </c>
      <c r="B434" s="9" t="s">
        <v>295</v>
      </c>
    </row>
    <row r="435" spans="1:2">
      <c r="A435" s="208" t="s">
        <v>385</v>
      </c>
      <c r="B435" s="179" t="str">
        <f>IFERROR(NS/(CUST),"B")</f>
        <v>B</v>
      </c>
    </row>
    <row r="436" spans="1:2">
      <c r="A436" s="217" t="s">
        <v>386</v>
      </c>
    </row>
    <row r="437" spans="1:2">
      <c r="A437" s="222" t="s">
        <v>387</v>
      </c>
      <c r="B437" s="14" t="str">
        <f>IFERROR(IF(SUM(NS_New+NS_Used+NS_SH+NS_ES)&gt;0,SUM(NS_New+NS_Used+NS_SH+NS_ES),"B"),"B")</f>
        <v>B</v>
      </c>
    </row>
    <row r="438" spans="1:2">
      <c r="A438" s="222" t="s">
        <v>388</v>
      </c>
      <c r="B438" s="14" t="str">
        <f>IFERROR(IF(SUM(COGS_New+COGS_Used+COGS_SH+COGS_ES)&gt;0,SUM(COGS_New+COGS_Used+COGS_SH+COGS_ES),"B"),"B")</f>
        <v>B</v>
      </c>
    </row>
    <row r="439" spans="1:2">
      <c r="A439" s="222" t="s">
        <v>389</v>
      </c>
      <c r="B439" s="14">
        <f>IFERROR(SUM(NS_New+NS_Used+NS_SH+NS_ES)-SUM(COGS_New+COGS_Used+COGS_SH+COGS_ES),"B")</f>
        <v>0</v>
      </c>
    </row>
    <row r="440" spans="1:2">
      <c r="A440" s="222" t="s">
        <v>390</v>
      </c>
      <c r="B440" s="104" t="str">
        <f>IF((PA_Out&gt;0),(PA_Out+PA_Inside)*(1+Burden_Pct),"b")</f>
        <v>b</v>
      </c>
    </row>
    <row r="441" spans="1:2">
      <c r="A441" s="222" t="s">
        <v>391</v>
      </c>
      <c r="B441" s="14" t="s">
        <v>244</v>
      </c>
    </row>
    <row r="442" spans="1:2">
      <c r="A442" s="222" t="s">
        <v>392</v>
      </c>
      <c r="B442" s="14" t="s">
        <v>244</v>
      </c>
    </row>
    <row r="443" spans="1:2">
      <c r="A443" s="222" t="s">
        <v>393</v>
      </c>
      <c r="B443" s="180" t="str">
        <f>IFERROR(B440+B441+B442,"B")</f>
        <v>B</v>
      </c>
    </row>
    <row r="444" spans="1:2">
      <c r="A444" s="222" t="s">
        <v>394</v>
      </c>
      <c r="B444" s="181" t="str">
        <f>IFERROR(IF(AND(B439&lt;&gt;"B",B443&lt;&gt;"B"),B439-B443,"B"),"B")</f>
        <v>B</v>
      </c>
    </row>
    <row r="445" spans="1:2">
      <c r="A445" s="217" t="s">
        <v>395</v>
      </c>
    </row>
    <row r="446" spans="1:2">
      <c r="A446" s="222" t="s">
        <v>387</v>
      </c>
      <c r="B446" s="172">
        <v>1</v>
      </c>
    </row>
    <row r="447" spans="1:2">
      <c r="A447" s="222" t="s">
        <v>388</v>
      </c>
      <c r="B447" s="173" t="str">
        <f>IFERROR(SUM(COGS_New+COGS_Used+COGS_SH+COGS_ES)/SUM(NS_New+NS_Used+NS_SH+NS_ES)*100,"B")</f>
        <v>B</v>
      </c>
    </row>
    <row r="448" spans="1:2">
      <c r="A448" s="222" t="s">
        <v>389</v>
      </c>
      <c r="B448" s="165" t="str">
        <f>IFERROR(((SUM(NS_New+NS_Used+NS_SH+NS_ES)-SUM(COGS_New+COGS_Used+COGS_SH+COGS_ES))/SUM(NS_New+NS_Used+NS_SH+NS_ES)*100),"B")</f>
        <v>B</v>
      </c>
    </row>
    <row r="449" spans="1:2">
      <c r="A449" s="222" t="s">
        <v>390</v>
      </c>
      <c r="B449" s="174" t="str">
        <f>IFERROR(((PA_Out+PA_Inside)*(1+Burden_Pct)/SUM(NS_New+NS_Used+NS_SH+NS_ES)*100),"B")</f>
        <v>B</v>
      </c>
    </row>
    <row r="450" spans="1:2">
      <c r="A450" s="222" t="s">
        <v>391</v>
      </c>
      <c r="B450" s="175" t="str">
        <f>IFERROR((NS_New+NS_Used+NS_SH+NS_ES)/NS*(OC)/SUM(NS_New+NS_Used+NS_SH+NS_ES)*100,"B")</f>
        <v>B</v>
      </c>
    </row>
    <row r="451" spans="1:2">
      <c r="A451" s="222" t="s">
        <v>392</v>
      </c>
      <c r="B451" s="176" t="str">
        <f>IFERROR((NS_New+NS_Used+NS_SH+NS_ES)/NS*(TOE)/SUM(NS_New+NS_Used+NS_SH+NS_ES)*100,"B")</f>
        <v>B</v>
      </c>
    </row>
    <row r="452" spans="1:2">
      <c r="A452" s="222" t="s">
        <v>393</v>
      </c>
      <c r="B452" s="177" t="str">
        <f>IFERROR(B449+B450+B451,"B")</f>
        <v>B</v>
      </c>
    </row>
    <row r="453" spans="1:2">
      <c r="A453" s="222" t="s">
        <v>394</v>
      </c>
      <c r="B453" s="182" t="str">
        <f>IFERROR((B448-B452)/100,"B")</f>
        <v>B</v>
      </c>
    </row>
    <row r="454" spans="1:2">
      <c r="A454" s="217" t="s">
        <v>396</v>
      </c>
    </row>
    <row r="455" spans="1:2">
      <c r="A455" s="222" t="s">
        <v>150</v>
      </c>
      <c r="B455" s="174" t="str">
        <f>IFERROR(((PA_Out+PA_Inside)*(1+Burden_Pct)/(SUM(NS_New+NS_Used+NS_SH+NS_ES)-SUM(COGS_New+COGS_Used+COGS_SH+COGS_ES))*100),"B")</f>
        <v>B</v>
      </c>
    </row>
    <row r="456" spans="1:2">
      <c r="A456" s="222" t="s">
        <v>151</v>
      </c>
      <c r="B456" s="175" t="str">
        <f>IFERROR((NS_New+NS_Used+NS_SH+NS_ES)/NS*(OC)/(SUM(NS_New+NS_Used+NS_SH+NS_ES)-SUM(COGS_New+COGS_Used+COGS_SH+COGS_ES))*100,"B")</f>
        <v>B</v>
      </c>
    </row>
    <row r="457" spans="1:2">
      <c r="A457" s="222" t="s">
        <v>397</v>
      </c>
      <c r="B457" s="176" t="str">
        <f>IFERROR((NS_New+NS_Used+NS_SH+NS_ES)/NS*(TOE)/(SUM(NS_New+NS_Used+NS_SH+NS_ES)-SUM(COGS_New+COGS_Used+COGS_SH+COGS_ES))*100,"B")</f>
        <v>B</v>
      </c>
    </row>
    <row r="458" spans="1:2">
      <c r="A458" s="222" t="s">
        <v>398</v>
      </c>
      <c r="B458" s="177" t="str">
        <f>IFERROR(B455+B456+B457,"B")</f>
        <v>B</v>
      </c>
    </row>
    <row r="459" spans="1:2">
      <c r="A459" s="222" t="s">
        <v>399</v>
      </c>
      <c r="B459" s="182" t="str">
        <f>IFERROR((100-B458)/100,"B")</f>
        <v>B</v>
      </c>
    </row>
    <row r="460" spans="1:2">
      <c r="A460" s="217" t="s">
        <v>400</v>
      </c>
    </row>
    <row r="461" spans="1:2">
      <c r="A461" s="222" t="s">
        <v>401</v>
      </c>
      <c r="B461" s="117" t="str">
        <f>IF(ISBLANK(EMP_Inside),"b",EMP_Inside)</f>
        <v>b</v>
      </c>
    </row>
    <row r="462" spans="1:2">
      <c r="A462" s="222" t="s">
        <v>402</v>
      </c>
      <c r="B462" s="183" t="str">
        <f>IF(ISBLANK(EMP_Out),"b",EMP_Out)</f>
        <v>b</v>
      </c>
    </row>
    <row r="463" spans="1:2">
      <c r="A463" s="222" t="s">
        <v>403</v>
      </c>
      <c r="B463" s="177">
        <f>IFERROR(EMP_Inside+EMP_Out,"B")</f>
        <v>0</v>
      </c>
    </row>
    <row r="464" spans="1:2">
      <c r="A464" s="223" t="s">
        <v>404</v>
      </c>
      <c r="B464" s="184" t="str">
        <f>IFERROR(SUM(NS_New+NS_Used+NS_SH+NS_ES)/(EMP_Inside+EMP_Out),"B")</f>
        <v>B</v>
      </c>
    </row>
    <row r="465" spans="1:2">
      <c r="A465" s="223" t="s">
        <v>405</v>
      </c>
      <c r="B465" s="184" t="str">
        <f>IFERROR((SUM(NS_New+NS_Used+NS_SH+NS_ES)-SUM(COGS_New+COGS_Used+COGS_SH+COGS_ES))/(EMP_Inside+EMP_Out),"B")</f>
        <v>B</v>
      </c>
    </row>
    <row r="466" spans="1:2">
      <c r="A466" s="225" t="s">
        <v>406</v>
      </c>
    </row>
    <row r="467" spans="1:2">
      <c r="A467" s="222" t="s">
        <v>407</v>
      </c>
      <c r="B467" s="172" t="str">
        <f>IFERROR(NS_New/SUM(NS_New+NS_Used+NS_SH+NS_ES),"B")</f>
        <v>B</v>
      </c>
    </row>
    <row r="468" spans="1:2">
      <c r="A468" s="222" t="s">
        <v>408</v>
      </c>
      <c r="B468" s="165" t="str">
        <f>IFERROR(NS_Used/SUM(NS_New+NS_Used+NS_SH+NS_ES)*100,"B")</f>
        <v>B</v>
      </c>
    </row>
    <row r="469" spans="1:2">
      <c r="A469" s="222" t="s">
        <v>409</v>
      </c>
      <c r="B469" s="165" t="str">
        <f>IFERROR(NS_SH/SUM(NS_New+NS_Used+NS_SH+NS_ES)*100,"B")</f>
        <v>B</v>
      </c>
    </row>
    <row r="470" spans="1:2">
      <c r="A470" s="222" t="s">
        <v>410</v>
      </c>
      <c r="B470" s="165" t="str">
        <f>IFERROR(NS_ES/SUM(NS_New+NS_Used+NS_SH+NS_ES)*100,"B")</f>
        <v>B</v>
      </c>
    </row>
    <row r="471" spans="1:2">
      <c r="A471" s="226" t="s">
        <v>411</v>
      </c>
      <c r="B471" s="172">
        <v>1</v>
      </c>
    </row>
    <row r="472" spans="1:2">
      <c r="A472" s="217" t="s">
        <v>412</v>
      </c>
    </row>
    <row r="473" spans="1:2">
      <c r="A473" s="222" t="s">
        <v>407</v>
      </c>
      <c r="B473" s="185" t="str">
        <f>IF(AND(NS_New&gt;0,COGS_New&gt;0),(NS_New-COGS_New)/(NS_New),"b")</f>
        <v>b</v>
      </c>
    </row>
    <row r="474" spans="1:2">
      <c r="A474" s="222" t="s">
        <v>408</v>
      </c>
      <c r="B474" s="185" t="str">
        <f>IF(AND(NS_Used&gt;0,COGS_Used),(NS_Used-COGS_Used)/NS_Used,"b")</f>
        <v>b</v>
      </c>
    </row>
    <row r="475" spans="1:2">
      <c r="A475" s="222" t="s">
        <v>409</v>
      </c>
      <c r="B475" s="185" t="str">
        <f>IF(AND(NS_SH&gt;0,COGS_SH),(NS_SH-COGS_SH)/NS_SH,"b")</f>
        <v>b</v>
      </c>
    </row>
    <row r="476" spans="1:2">
      <c r="A476" s="222" t="s">
        <v>410</v>
      </c>
      <c r="B476" s="185" t="str">
        <f>IF(AND(NS_ES&gt;0,COGS_ES&gt;0),(NS_ES-COGS_ES)/NS_ES,"b")</f>
        <v>b</v>
      </c>
    </row>
    <row r="477" spans="1:2">
      <c r="A477" s="217" t="s">
        <v>413</v>
      </c>
    </row>
    <row r="478" spans="1:2">
      <c r="A478" s="222" t="s">
        <v>414</v>
      </c>
      <c r="B478" s="117" t="str">
        <f>IF(ISBLANK(AgeNew),"b",AgeNew)</f>
        <v>AgeNew</v>
      </c>
    </row>
    <row r="479" spans="1:2">
      <c r="A479" s="222" t="s">
        <v>415</v>
      </c>
      <c r="B479" s="117" t="str">
        <f>IF(ISBLANK(AgeUsed),"b",AgeUsed)</f>
        <v>AgeUsed</v>
      </c>
    </row>
    <row r="480" spans="1:2">
      <c r="A480" s="222" t="s">
        <v>416</v>
      </c>
      <c r="B480" s="186" t="s">
        <v>294</v>
      </c>
    </row>
    <row r="481" spans="1:2">
      <c r="A481" s="217" t="s">
        <v>417</v>
      </c>
    </row>
    <row r="482" spans="1:2">
      <c r="A482" s="222" t="s">
        <v>418</v>
      </c>
      <c r="B482" s="162" t="str">
        <f>IFERROR(COGS_New/NEWINV,"B")</f>
        <v>B</v>
      </c>
    </row>
    <row r="483" spans="1:2">
      <c r="A483" s="222" t="s">
        <v>419</v>
      </c>
      <c r="B483" s="162" t="str">
        <f>IFERROR(COGS_Used/USEDINV,"B")</f>
        <v>B</v>
      </c>
    </row>
    <row r="484" spans="1:2">
      <c r="A484" s="224" t="s">
        <v>420</v>
      </c>
      <c r="B484" s="2" t="s">
        <v>295</v>
      </c>
    </row>
    <row r="485" spans="1:2">
      <c r="A485" s="217" t="s">
        <v>421</v>
      </c>
    </row>
    <row r="486" spans="1:2">
      <c r="A486" s="222" t="s">
        <v>422</v>
      </c>
      <c r="B486" s="9" t="str">
        <f>IF((NS_OTH&lt;&gt;NS),NS_Counter,"b")</f>
        <v>b</v>
      </c>
    </row>
    <row r="487" spans="1:2">
      <c r="A487" s="225" t="s">
        <v>423</v>
      </c>
    </row>
    <row r="488" spans="1:2">
      <c r="A488" s="222" t="s">
        <v>424</v>
      </c>
      <c r="B488" s="172">
        <v>1</v>
      </c>
    </row>
    <row r="489" spans="1:2">
      <c r="A489" s="226" t="s">
        <v>425</v>
      </c>
      <c r="B489" s="173" t="str">
        <f>IFERROR(SUM(COGS_Counter)/SUM(NS_Counter)*100,"B")</f>
        <v>B</v>
      </c>
    </row>
    <row r="490" spans="1:2">
      <c r="A490" s="222" t="s">
        <v>426</v>
      </c>
      <c r="B490" s="165" t="str">
        <f>IFERROR(((SUM(NS_Counter)-SUM(COGS_Counter))/SUM(NS_Counter)*100),"B")</f>
        <v>B</v>
      </c>
    </row>
    <row r="491" spans="1:2">
      <c r="A491" s="226" t="s">
        <v>427</v>
      </c>
      <c r="B491" s="174" t="str">
        <f>IFERROR(((PA_Parts)*(1+Burden_Pct)/(NS_Counter)*100),"B")</f>
        <v>B</v>
      </c>
    </row>
    <row r="492" spans="1:2">
      <c r="A492" s="226" t="s">
        <v>428</v>
      </c>
      <c r="B492" s="175" t="str">
        <f>IFERROR((NS_Counter)/NS*(OC)/(NS_Counter)*100,"B")</f>
        <v>B</v>
      </c>
    </row>
    <row r="493" spans="1:2">
      <c r="A493" s="226" t="s">
        <v>429</v>
      </c>
      <c r="B493" s="176" t="str">
        <f>IFERROR((NS_Counter)/NS*(TOE)/(NS_Counter)*100,"B")</f>
        <v>B</v>
      </c>
    </row>
    <row r="494" spans="1:2">
      <c r="A494" s="222" t="s">
        <v>430</v>
      </c>
      <c r="B494" s="177" t="str">
        <f>IFERROR(B491+B492+B493,"B")</f>
        <v>B</v>
      </c>
    </row>
    <row r="495" spans="1:2">
      <c r="A495" s="226" t="s">
        <v>431</v>
      </c>
      <c r="B495" s="182" t="str">
        <f>IFERROR((B490-B494)/100,"B")</f>
        <v>B</v>
      </c>
    </row>
    <row r="496" spans="1:2">
      <c r="A496" s="217" t="s">
        <v>432</v>
      </c>
    </row>
    <row r="497" spans="1:2">
      <c r="A497" s="207" t="s">
        <v>433</v>
      </c>
      <c r="B497" s="14">
        <f>IFERROR((SUM(NS_Counter)-SUM(COGS_Counter)),"B")</f>
        <v>0</v>
      </c>
    </row>
    <row r="498" spans="1:2">
      <c r="A498" s="226" t="s">
        <v>427</v>
      </c>
      <c r="B498" s="174" t="str">
        <f>IFERROR(((PA_Parts)*(1+Burden_Pct)/(SUM(NS_Counter)-SUM(COGS_Counter))*100),"B")</f>
        <v>B</v>
      </c>
    </row>
    <row r="499" spans="1:2">
      <c r="A499" s="226" t="s">
        <v>428</v>
      </c>
      <c r="B499" s="175" t="str">
        <f>IFERROR((NS_Counter)/NS*(OC)/(SUM(NS_Counter)-SUM(COGS_Counter))*100,"B")</f>
        <v>B</v>
      </c>
    </row>
    <row r="500" spans="1:2">
      <c r="A500" s="226" t="s">
        <v>429</v>
      </c>
      <c r="B500" s="176" t="str">
        <f>IFERROR((NS_Counter)/NS*(TOE)/(SUM(NS_Counter)-SUM(COGS_Counter))*100,"B")</f>
        <v>B</v>
      </c>
    </row>
    <row r="501" spans="1:2">
      <c r="A501" s="222" t="s">
        <v>430</v>
      </c>
      <c r="B501" s="177" t="str">
        <f>IFERROR(B498+B499+B500,"B")</f>
        <v>B</v>
      </c>
    </row>
    <row r="502" spans="1:2">
      <c r="A502" s="226" t="s">
        <v>431</v>
      </c>
      <c r="B502" s="182" t="str">
        <f>IFERROR((100-B501)/100,"B")</f>
        <v>B</v>
      </c>
    </row>
    <row r="503" spans="1:2">
      <c r="A503" s="217" t="s">
        <v>434</v>
      </c>
    </row>
    <row r="504" spans="1:2">
      <c r="A504" s="227" t="s">
        <v>435</v>
      </c>
      <c r="B504" s="186" t="s">
        <v>295</v>
      </c>
    </row>
    <row r="505" spans="1:2">
      <c r="A505" s="227" t="s">
        <v>436</v>
      </c>
      <c r="B505" s="186" t="s">
        <v>295</v>
      </c>
    </row>
    <row r="506" spans="1:2">
      <c r="A506" s="227" t="s">
        <v>437</v>
      </c>
      <c r="B506" s="186" t="s">
        <v>295</v>
      </c>
    </row>
    <row r="507" spans="1:2">
      <c r="A507" s="227" t="s">
        <v>438</v>
      </c>
      <c r="B507" s="186" t="s">
        <v>295</v>
      </c>
    </row>
    <row r="508" spans="1:2">
      <c r="A508" s="227" t="s">
        <v>439</v>
      </c>
      <c r="B508" s="186" t="s">
        <v>295</v>
      </c>
    </row>
    <row r="509" spans="1:2">
      <c r="A509" s="222" t="s">
        <v>253</v>
      </c>
      <c r="B509" s="186" t="s">
        <v>295</v>
      </c>
    </row>
    <row r="510" spans="1:2">
      <c r="A510" s="228" t="s">
        <v>440</v>
      </c>
      <c r="B510" s="186" t="s">
        <v>295</v>
      </c>
    </row>
    <row r="511" spans="1:2">
      <c r="A511" s="222" t="s">
        <v>441</v>
      </c>
      <c r="B511" s="184" t="str">
        <f>IFERROR((NS_Counter)/(EMP_Parts),"B")</f>
        <v>B</v>
      </c>
    </row>
    <row r="512" spans="1:2">
      <c r="A512" s="222" t="s">
        <v>442</v>
      </c>
      <c r="B512" s="184" t="str">
        <f>IFERROR(((NS_Counter)-SUM(COGS_Counter))/(EMP_Parts),"B")</f>
        <v>B</v>
      </c>
    </row>
    <row r="513" spans="1:2">
      <c r="A513" s="225" t="s">
        <v>443</v>
      </c>
    </row>
    <row r="514" spans="1:2">
      <c r="A514" s="222" t="s">
        <v>444</v>
      </c>
      <c r="B514" s="186" t="s">
        <v>295</v>
      </c>
    </row>
    <row r="515" spans="1:2">
      <c r="A515" s="222" t="s">
        <v>445</v>
      </c>
      <c r="B515" s="186" t="s">
        <v>295</v>
      </c>
    </row>
    <row r="516" spans="1:2">
      <c r="A516" s="222" t="s">
        <v>446</v>
      </c>
      <c r="B516" s="186" t="s">
        <v>295</v>
      </c>
    </row>
    <row r="517" spans="1:2">
      <c r="A517" s="222" t="s">
        <v>447</v>
      </c>
      <c r="B517" s="186" t="s">
        <v>295</v>
      </c>
    </row>
    <row r="518" spans="1:2">
      <c r="A518" s="226" t="s">
        <v>411</v>
      </c>
      <c r="B518" s="186" t="s">
        <v>295</v>
      </c>
    </row>
    <row r="519" spans="1:2">
      <c r="A519" s="225" t="s">
        <v>426</v>
      </c>
    </row>
    <row r="520" spans="1:2">
      <c r="A520" s="222" t="s">
        <v>444</v>
      </c>
      <c r="B520" s="186" t="s">
        <v>295</v>
      </c>
    </row>
    <row r="521" spans="1:2">
      <c r="A521" s="222" t="s">
        <v>445</v>
      </c>
      <c r="B521" s="186" t="s">
        <v>295</v>
      </c>
    </row>
    <row r="522" spans="1:2">
      <c r="A522" s="222" t="s">
        <v>446</v>
      </c>
      <c r="B522" s="186" t="s">
        <v>295</v>
      </c>
    </row>
    <row r="523" spans="1:2">
      <c r="A523" s="222" t="s">
        <v>448</v>
      </c>
      <c r="B523" s="186" t="s">
        <v>295</v>
      </c>
    </row>
    <row r="524" spans="1:2">
      <c r="A524" s="225" t="s">
        <v>449</v>
      </c>
    </row>
    <row r="525" spans="1:2">
      <c r="A525" s="222" t="s">
        <v>127</v>
      </c>
      <c r="B525" s="187" t="e">
        <f>IF(ISBLANK(AgeParts),"b",AgeParts/100)</f>
        <v>#VALUE!</v>
      </c>
    </row>
    <row r="526" spans="1:2">
      <c r="A526" s="222" t="s">
        <v>450</v>
      </c>
      <c r="B526" s="162" t="str">
        <f>IFERROR(COGS_Counter/PARTSINV,"B")</f>
        <v>B</v>
      </c>
    </row>
    <row r="527" spans="1:2">
      <c r="A527" s="222" t="s">
        <v>451</v>
      </c>
      <c r="B527" s="145" t="str">
        <f>IFERROR((NS_Counter-COGS_Counter)/PARTSINV,"B")</f>
        <v>B</v>
      </c>
    </row>
    <row r="528" spans="1:2">
      <c r="A528" s="225" t="s">
        <v>452</v>
      </c>
    </row>
    <row r="529" spans="1:2">
      <c r="A529" s="222" t="s">
        <v>453</v>
      </c>
      <c r="B529" s="186" t="s">
        <v>295</v>
      </c>
    </row>
    <row r="530" spans="1:2">
      <c r="A530" s="222" t="s">
        <v>454</v>
      </c>
      <c r="B530" s="186" t="s">
        <v>295</v>
      </c>
    </row>
    <row r="531" spans="1:2">
      <c r="A531" s="222" t="s">
        <v>455</v>
      </c>
      <c r="B531" s="186" t="s">
        <v>295</v>
      </c>
    </row>
    <row r="532" spans="1:2">
      <c r="A532" s="226" t="s">
        <v>456</v>
      </c>
      <c r="B532" s="186" t="s">
        <v>295</v>
      </c>
    </row>
    <row r="533" spans="1:2">
      <c r="A533" s="217" t="s">
        <v>457</v>
      </c>
    </row>
    <row r="534" spans="1:2">
      <c r="A534" s="222" t="s">
        <v>458</v>
      </c>
      <c r="B534" s="9" t="str">
        <f>IF((NS_OTH&lt;&gt;NS),NS_SVC,"b")</f>
        <v>b</v>
      </c>
    </row>
    <row r="535" spans="1:2">
      <c r="A535" s="225" t="s">
        <v>459</v>
      </c>
    </row>
    <row r="536" spans="1:2">
      <c r="A536" s="222" t="s">
        <v>460</v>
      </c>
      <c r="B536" s="172">
        <v>1</v>
      </c>
    </row>
    <row r="537" spans="1:2">
      <c r="A537" s="226" t="s">
        <v>461</v>
      </c>
      <c r="B537" s="173" t="str">
        <f>IFERROR(SUM(COGS_SVC)/SUM(NS_SVC)*100,"B")</f>
        <v>B</v>
      </c>
    </row>
    <row r="538" spans="1:2">
      <c r="A538" s="222" t="s">
        <v>462</v>
      </c>
      <c r="B538" s="165" t="str">
        <f>IFERROR(((SUM(NS_SVC)-SUM(COGS_SVC))/SUM(NS_SVC)*100),"B")</f>
        <v>B</v>
      </c>
    </row>
    <row r="539" spans="1:2">
      <c r="A539" s="226" t="s">
        <v>463</v>
      </c>
      <c r="B539" s="174" t="str">
        <f>IFERROR(((PA_SVC)*(1+Burden_Pct)/(NS_SVC)*100),"B")</f>
        <v>B</v>
      </c>
    </row>
    <row r="540" spans="1:2">
      <c r="A540" s="226" t="s">
        <v>464</v>
      </c>
      <c r="B540" s="175" t="str">
        <f>IFERROR((NS_SVC)/NS*(OC)/(NS_SVC)*100,"B")</f>
        <v>B</v>
      </c>
    </row>
    <row r="541" spans="1:2">
      <c r="A541" s="226" t="s">
        <v>465</v>
      </c>
      <c r="B541" s="176" t="str">
        <f>IFERROR((NS_SVC)/NS*(TOE)/(NS_SVC)*100,"B")</f>
        <v>B</v>
      </c>
    </row>
    <row r="542" spans="1:2">
      <c r="A542" s="222" t="s">
        <v>466</v>
      </c>
      <c r="B542" s="177" t="str">
        <f>IFERROR(B539+B540+B541,"B")</f>
        <v>B</v>
      </c>
    </row>
    <row r="543" spans="1:2">
      <c r="A543" s="226" t="s">
        <v>467</v>
      </c>
      <c r="B543" s="182" t="str">
        <f>IFERROR((B538-B542)/100,"B")</f>
        <v>B</v>
      </c>
    </row>
    <row r="544" spans="1:2">
      <c r="A544" s="225" t="s">
        <v>468</v>
      </c>
    </row>
    <row r="545" spans="1:2">
      <c r="A545" s="207" t="s">
        <v>469</v>
      </c>
      <c r="B545" s="14">
        <f>IFERROR((SUM(NS_SVC)-SUM(COGS_SVC)),"B")</f>
        <v>0</v>
      </c>
    </row>
    <row r="546" spans="1:2">
      <c r="A546" s="226" t="s">
        <v>463</v>
      </c>
      <c r="B546" s="174" t="str">
        <f>IFERROR(((PA_SVC)*(1+Burden_Pct)/(SUM(NS_SVC)-SUM(COGS_SVC))*100),"B")</f>
        <v>B</v>
      </c>
    </row>
    <row r="547" spans="1:2">
      <c r="A547" s="226" t="s">
        <v>464</v>
      </c>
      <c r="B547" s="175" t="str">
        <f>IFERROR((NS_SVC)/NS*(OC)/(SUM(NS_SVC)-SUM(COGS_SVC))*100,"B")</f>
        <v>B</v>
      </c>
    </row>
    <row r="548" spans="1:2">
      <c r="A548" s="226" t="s">
        <v>465</v>
      </c>
      <c r="B548" s="176" t="str">
        <f>IFERROR((NS_SVC)/NS*(TOE)/(SUM(NS_SVC)-SUM(COGS_SVC))*100,"B")</f>
        <v>B</v>
      </c>
    </row>
    <row r="549" spans="1:2">
      <c r="A549" s="222" t="s">
        <v>466</v>
      </c>
      <c r="B549" s="177" t="str">
        <f>IFERROR(B546+B547+B548,"B")</f>
        <v>B</v>
      </c>
    </row>
    <row r="550" spans="1:2">
      <c r="A550" s="226" t="s">
        <v>467</v>
      </c>
      <c r="B550" s="182" t="str">
        <f>IFERROR((100-B549)/100,"B")</f>
        <v>B</v>
      </c>
    </row>
    <row r="551" spans="1:2">
      <c r="A551" s="225" t="s">
        <v>470</v>
      </c>
    </row>
    <row r="552" spans="1:2">
      <c r="A552" s="227" t="s">
        <v>471</v>
      </c>
      <c r="B552" s="117" t="str">
        <f>IF(ISBLANK(EMP_SVC),"b",EMP_SVC)</f>
        <v>b</v>
      </c>
    </row>
    <row r="553" spans="1:2">
      <c r="A553" s="227" t="s">
        <v>437</v>
      </c>
      <c r="B553" s="186" t="s">
        <v>295</v>
      </c>
    </row>
    <row r="554" spans="1:2">
      <c r="A554" s="227" t="s">
        <v>438</v>
      </c>
      <c r="B554" s="186" t="s">
        <v>295</v>
      </c>
    </row>
    <row r="555" spans="1:2">
      <c r="A555" s="227" t="s">
        <v>472</v>
      </c>
      <c r="B555" s="186" t="s">
        <v>295</v>
      </c>
    </row>
    <row r="556" spans="1:2">
      <c r="A556" s="227" t="s">
        <v>126</v>
      </c>
      <c r="B556" s="186" t="s">
        <v>295</v>
      </c>
    </row>
    <row r="557" spans="1:2">
      <c r="A557" s="228" t="s">
        <v>473</v>
      </c>
      <c r="B557" s="177">
        <f>IFERROR(EMP_SVC+EMP_Tech,"B")</f>
        <v>0</v>
      </c>
    </row>
    <row r="558" spans="1:2">
      <c r="A558" s="222" t="s">
        <v>474</v>
      </c>
      <c r="B558" s="184" t="str">
        <f>IFERROR((NS_SVC)/(EMP_Tech),"B")</f>
        <v>B</v>
      </c>
    </row>
    <row r="559" spans="1:2">
      <c r="A559" s="222" t="s">
        <v>475</v>
      </c>
      <c r="B559" s="184" t="str">
        <f>IFERROR(((NS_SVC)-SUM(COGS_SVC))/(EMP_Tech),"B")</f>
        <v>B</v>
      </c>
    </row>
    <row r="560" spans="1:2" ht="15.75" thickBot="1">
      <c r="A560" s="222" t="s">
        <v>476</v>
      </c>
      <c r="B560" s="182" t="str">
        <f>IFERROR((EMP_Tech)/(Emp),"B")</f>
        <v>B</v>
      </c>
    </row>
    <row r="561" spans="1:2" ht="15.75" thickBot="1">
      <c r="A561" s="229" t="s">
        <v>477</v>
      </c>
      <c r="B561" s="188" t="s">
        <v>296</v>
      </c>
    </row>
    <row r="562" spans="1:2">
      <c r="A562" s="225" t="s">
        <v>478</v>
      </c>
    </row>
    <row r="563" spans="1:2">
      <c r="A563" s="222" t="s">
        <v>479</v>
      </c>
      <c r="B563" s="189" t="str">
        <f>IF(ISBLANK(SvcCalls),"b",SvcCalls)</f>
        <v>b</v>
      </c>
    </row>
    <row r="564" spans="1:2">
      <c r="A564" s="229" t="s">
        <v>480</v>
      </c>
      <c r="B564" s="190" t="str">
        <f>IFERROR((SvcCalls)/(EMP_Tech),"B")</f>
        <v>B</v>
      </c>
    </row>
    <row r="565" spans="1:2">
      <c r="A565" s="222" t="s">
        <v>481</v>
      </c>
      <c r="B565" s="191" t="str">
        <f>IF(ISBLANK(SvcVeh_),"b",SvcVeh_)</f>
        <v>b</v>
      </c>
    </row>
    <row r="566" spans="1:2">
      <c r="A566" s="222" t="s">
        <v>482</v>
      </c>
      <c r="B566" s="191" t="str">
        <f>IF(ISBLANK(SvcRecover),"b",SvcRecover)</f>
        <v>b</v>
      </c>
    </row>
    <row r="567" spans="1:2">
      <c r="A567" s="222" t="s">
        <v>483</v>
      </c>
      <c r="B567" s="192" t="str">
        <f>IFERROR((SvcRecover)/(SvcVeh_),"B")</f>
        <v>B</v>
      </c>
    </row>
    <row r="568" spans="1:2">
      <c r="A568" s="222" t="s">
        <v>484</v>
      </c>
      <c r="B568" s="193" t="str">
        <f>IF(ISBLANK(TechApplied),"b",TechApplied)</f>
        <v>b</v>
      </c>
    </row>
    <row r="569" spans="1:2">
      <c r="A569" s="222" t="s">
        <v>485</v>
      </c>
      <c r="B569" s="193" t="str">
        <f>IF(ISBLANK(TechBilled),"b",TechBilled)</f>
        <v>b</v>
      </c>
    </row>
    <row r="570" spans="1:2">
      <c r="A570" s="222" t="s">
        <v>486</v>
      </c>
      <c r="B570" s="198" t="s">
        <v>295</v>
      </c>
    </row>
    <row r="571" spans="1:2">
      <c r="A571" s="222" t="s">
        <v>487</v>
      </c>
      <c r="B571" s="192" t="str">
        <f>IFERROR((TechBilled)/(TechPaid),"B")</f>
        <v>B</v>
      </c>
    </row>
    <row r="572" spans="1:2">
      <c r="A572" s="222" t="s">
        <v>488</v>
      </c>
      <c r="B572" s="194" t="str">
        <f>IFERROR((NS_SVC)/(TechBilled),"B")</f>
        <v>B</v>
      </c>
    </row>
    <row r="573" spans="1:2">
      <c r="A573" s="222" t="s">
        <v>489</v>
      </c>
      <c r="B573" s="194" t="str">
        <f>IFERROR((NS_SVC)/(TechApplied),"B")</f>
        <v>B</v>
      </c>
    </row>
    <row r="574" spans="1:2">
      <c r="A574" s="222" t="s">
        <v>490</v>
      </c>
      <c r="B574" s="193" t="str">
        <f>IF(ISBLANK(SvcJobs),"b",SvcJobs)</f>
        <v>b</v>
      </c>
    </row>
    <row r="575" spans="1:2">
      <c r="A575" s="225" t="s">
        <v>491</v>
      </c>
    </row>
    <row r="576" spans="1:2">
      <c r="A576" s="222" t="s">
        <v>453</v>
      </c>
      <c r="B576" s="198" t="s">
        <v>295</v>
      </c>
    </row>
    <row r="577" spans="1:2">
      <c r="A577" s="222" t="s">
        <v>454</v>
      </c>
      <c r="B577" s="198" t="s">
        <v>295</v>
      </c>
    </row>
    <row r="578" spans="1:2">
      <c r="A578" s="222" t="s">
        <v>455</v>
      </c>
      <c r="B578" s="198" t="s">
        <v>295</v>
      </c>
    </row>
    <row r="579" spans="1:2">
      <c r="A579" s="226" t="s">
        <v>456</v>
      </c>
      <c r="B579" s="198" t="s">
        <v>295</v>
      </c>
    </row>
    <row r="580" spans="1:2">
      <c r="A580" s="217" t="s">
        <v>492</v>
      </c>
    </row>
    <row r="581" spans="1:2">
      <c r="A581" s="222" t="s">
        <v>493</v>
      </c>
      <c r="B581" s="104" t="str">
        <f>IF((NS_OTH&lt;&gt;NS),NS_RENT,"b")</f>
        <v>b</v>
      </c>
    </row>
    <row r="582" spans="1:2">
      <c r="A582" s="225" t="s">
        <v>494</v>
      </c>
    </row>
    <row r="583" spans="1:2">
      <c r="A583" s="222" t="s">
        <v>495</v>
      </c>
      <c r="B583" s="172">
        <v>1</v>
      </c>
    </row>
    <row r="584" spans="1:2">
      <c r="A584" s="226" t="s">
        <v>496</v>
      </c>
      <c r="B584" s="173" t="str">
        <f>IFERROR(SUM(COGS_Rent)/SUM(NS_RENT)*100,"B")</f>
        <v>B</v>
      </c>
    </row>
    <row r="585" spans="1:2">
      <c r="A585" s="222" t="s">
        <v>497</v>
      </c>
      <c r="B585" s="165" t="str">
        <f>IFERROR(((SUM(NS_RENT)-SUM(COGS_Rent))/SUM(NS_RENT)*100),"B")</f>
        <v>B</v>
      </c>
    </row>
    <row r="586" spans="1:2">
      <c r="A586" s="226" t="s">
        <v>498</v>
      </c>
      <c r="B586" s="174" t="str">
        <f>IFERROR(((PA_Rental)*(1+Burden_Pct)/(NS_RENT)*100),"B")</f>
        <v>B</v>
      </c>
    </row>
    <row r="587" spans="1:2">
      <c r="A587" s="226" t="s">
        <v>499</v>
      </c>
      <c r="B587" s="175" t="str">
        <f>IFERROR((NS_RENT)/NS*(OC)/(NS_RENT)*100,"B")</f>
        <v>B</v>
      </c>
    </row>
    <row r="588" spans="1:2">
      <c r="A588" s="226" t="s">
        <v>500</v>
      </c>
      <c r="B588" s="176" t="str">
        <f>IFERROR((NS_RENT)/NS*(TOE)/(NS_RENT)*100,"B")</f>
        <v>B</v>
      </c>
    </row>
    <row r="589" spans="1:2">
      <c r="A589" s="222" t="s">
        <v>501</v>
      </c>
      <c r="B589" s="177" t="str">
        <f>IFERROR(B586+B587+B588,"B")</f>
        <v>B</v>
      </c>
    </row>
    <row r="590" spans="1:2">
      <c r="A590" s="226" t="s">
        <v>502</v>
      </c>
      <c r="B590" s="182" t="str">
        <f>IFERROR((B585-B589)/100,"B")</f>
        <v>B</v>
      </c>
    </row>
    <row r="591" spans="1:2">
      <c r="A591" s="225" t="s">
        <v>503</v>
      </c>
    </row>
    <row r="592" spans="1:2">
      <c r="A592" s="207" t="s">
        <v>504</v>
      </c>
      <c r="B592" s="14">
        <f>IFERROR((SUM(NS_RENT)-SUM(COGS_Rent)),"B")</f>
        <v>0</v>
      </c>
    </row>
    <row r="593" spans="1:2">
      <c r="A593" s="226" t="s">
        <v>498</v>
      </c>
      <c r="B593" s="174" t="str">
        <f>IFERROR(((PA_Rental)*(1+Burden_Pct)/(SUM(NS_RENT)-SUM(COGS_Rent))*100),"B")</f>
        <v>B</v>
      </c>
    </row>
    <row r="594" spans="1:2">
      <c r="A594" s="226" t="s">
        <v>499</v>
      </c>
      <c r="B594" s="175" t="str">
        <f>IFERROR((NS_RENT)/NS*(OC)/(SUM(NS_RENT)-SUM(COGS_Rent))*100,"B")</f>
        <v>B</v>
      </c>
    </row>
    <row r="595" spans="1:2">
      <c r="A595" s="226" t="s">
        <v>500</v>
      </c>
      <c r="B595" s="176" t="str">
        <f>IFERROR((NS_RENT)/NS*(TOE)/(SUM(NS_RENT)-SUM(COGS_Rent))*100,"B")</f>
        <v>B</v>
      </c>
    </row>
    <row r="596" spans="1:2">
      <c r="A596" s="222" t="s">
        <v>501</v>
      </c>
      <c r="B596" s="177" t="str">
        <f>IFERROR(B593+B594+B595,"B")</f>
        <v>B</v>
      </c>
    </row>
    <row r="597" spans="1:2">
      <c r="A597" s="226" t="s">
        <v>505</v>
      </c>
      <c r="B597" s="182" t="str">
        <f>IFERROR((100-B596)/100,"B")</f>
        <v>B</v>
      </c>
    </row>
    <row r="598" spans="1:2">
      <c r="A598" s="225" t="s">
        <v>506</v>
      </c>
    </row>
    <row r="599" spans="1:2">
      <c r="A599" s="227" t="s">
        <v>507</v>
      </c>
      <c r="B599" s="186" t="s">
        <v>295</v>
      </c>
    </row>
    <row r="600" spans="1:2">
      <c r="A600" s="227" t="s">
        <v>437</v>
      </c>
      <c r="B600" s="186" t="s">
        <v>295</v>
      </c>
    </row>
    <row r="601" spans="1:2">
      <c r="A601" s="227" t="s">
        <v>438</v>
      </c>
      <c r="B601" s="186" t="s">
        <v>295</v>
      </c>
    </row>
    <row r="602" spans="1:2">
      <c r="A602" s="227" t="s">
        <v>508</v>
      </c>
      <c r="B602" s="186" t="s">
        <v>295</v>
      </c>
    </row>
    <row r="603" spans="1:2">
      <c r="A603" s="227" t="s">
        <v>509</v>
      </c>
      <c r="B603" s="186" t="s">
        <v>295</v>
      </c>
    </row>
    <row r="604" spans="1:2">
      <c r="A604" s="228" t="s">
        <v>510</v>
      </c>
      <c r="B604" s="117" t="str">
        <f>IF(ISBLANK(EMP_Rental),"b",EMP_Rental)</f>
        <v>b</v>
      </c>
    </row>
    <row r="605" spans="1:2">
      <c r="A605" s="217" t="s">
        <v>511</v>
      </c>
    </row>
    <row r="606" spans="1:2" ht="15.75" thickBot="1">
      <c r="A606" s="229" t="s">
        <v>512</v>
      </c>
      <c r="B606" s="182" t="str">
        <f>IFERROR((EMP_Rental)/(Emp),"B")</f>
        <v>B</v>
      </c>
    </row>
    <row r="607" spans="1:2" ht="15.75" thickBot="1">
      <c r="A607" s="229" t="s">
        <v>513</v>
      </c>
      <c r="B607" s="188" t="s">
        <v>244</v>
      </c>
    </row>
    <row r="608" spans="1:2">
      <c r="A608" s="217" t="s">
        <v>514</v>
      </c>
      <c r="B608" s="2" t="s">
        <v>244</v>
      </c>
    </row>
    <row r="609" spans="1:2">
      <c r="A609" s="222" t="s">
        <v>515</v>
      </c>
      <c r="B609" s="195" t="s">
        <v>244</v>
      </c>
    </row>
    <row r="610" spans="1:2">
      <c r="A610" s="222" t="s">
        <v>516</v>
      </c>
      <c r="B610" s="191" t="str">
        <f>IF(ISBLANK(STvalue),"b",STvalue)</f>
        <v>b</v>
      </c>
    </row>
    <row r="611" spans="1:2">
      <c r="A611" s="222" t="s">
        <v>517</v>
      </c>
      <c r="B611" s="194" t="str">
        <f>IFERROR((NS_RENT)/(STunits),"B")</f>
        <v>B</v>
      </c>
    </row>
    <row r="612" spans="1:2">
      <c r="A612" s="222" t="s">
        <v>518</v>
      </c>
      <c r="B612" s="192" t="str">
        <f>IFERROR((NS_RENT)/(STvalue),"B")</f>
        <v>B</v>
      </c>
    </row>
    <row r="613" spans="1:2">
      <c r="A613" s="222" t="s">
        <v>519</v>
      </c>
      <c r="B613" s="192" t="str">
        <f>IFERROR((NS_RENT)/(Fixed),"B")</f>
        <v>B</v>
      </c>
    </row>
    <row r="614" spans="1:2">
      <c r="A614" s="222" t="s">
        <v>520</v>
      </c>
      <c r="B614" s="196" t="str">
        <f>IF(ISBLANK(STutil),"b",STutil/100)</f>
        <v>b</v>
      </c>
    </row>
    <row r="615" spans="1:2">
      <c r="A615" s="2"/>
    </row>
    <row r="616" spans="1:2">
      <c r="A616" s="217" t="s">
        <v>525</v>
      </c>
    </row>
    <row r="617" spans="1:2">
      <c r="A617" s="248" t="s">
        <v>526</v>
      </c>
      <c r="B617" s="157" t="str">
        <f>IFERROR(NS/(EMP_Out+EMP_Inside),"B")</f>
        <v>B</v>
      </c>
    </row>
    <row r="618" spans="1:2">
      <c r="A618" s="248" t="s">
        <v>527</v>
      </c>
      <c r="B618" s="141" t="str">
        <f>IFERROR(GP_2/(EMP_Out+EMP_Inside),"B")</f>
        <v>B</v>
      </c>
    </row>
    <row r="619" spans="1:2">
      <c r="A619" s="230" t="s">
        <v>528</v>
      </c>
      <c r="B619" s="157" t="str">
        <f>IFERROR(NS/(EMP_Out),"B")</f>
        <v>B</v>
      </c>
    </row>
    <row r="620" spans="1:2">
      <c r="A620" s="230" t="s">
        <v>529</v>
      </c>
      <c r="B620" s="141" t="str">
        <f>IFERROR(GP_2/(EMP_Out),"B")</f>
        <v>B</v>
      </c>
    </row>
    <row r="621" spans="1:2">
      <c r="A621" s="248" t="s">
        <v>530</v>
      </c>
      <c r="B621" s="251" t="str">
        <f>IFERROR(EMP_Out/EMP_Inside,"B")</f>
        <v>B</v>
      </c>
    </row>
    <row r="622" spans="1:2">
      <c r="A622" s="258" t="s">
        <v>531</v>
      </c>
      <c r="B622" s="157" t="str">
        <f>IFERROR(NS/(EMP_PM),"B")</f>
        <v>B</v>
      </c>
    </row>
    <row r="623" spans="1:2">
      <c r="A623" s="258" t="s">
        <v>532</v>
      </c>
      <c r="B623" s="251" t="str">
        <f>IFERROR(EMP_PM/EMP_Out,"B")</f>
        <v>B</v>
      </c>
    </row>
    <row r="624" spans="1:2">
      <c r="A624" s="258" t="s">
        <v>533</v>
      </c>
      <c r="B624" s="204" t="str">
        <f>IF(OR(NS_Install&gt;0,NS_SVC&gt;0),IFERROR((NS_SVC+NS_Install)/(EMP_Tech),"B"),"b")</f>
        <v>b</v>
      </c>
    </row>
    <row r="625" spans="1:2">
      <c r="A625" s="258" t="s">
        <v>534</v>
      </c>
      <c r="B625" s="205" t="str">
        <f>IF(OR(NS_Install&gt;0,NS_SVC&gt;0),IFERROR(((NS_SVC+NS_Install)-(COGS_SVC+COGS_Install))/(EMP_Tech),"B"),"b")</f>
        <v>b</v>
      </c>
    </row>
  </sheetData>
  <phoneticPr fontId="0" type="noConversion"/>
  <pageMargins left="0.5" right="0.5" top="0.25" bottom="0.25" header="0.25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185</vt:i4>
      </vt:variant>
    </vt:vector>
  </HeadingPairs>
  <TitlesOfParts>
    <vt:vector size="188" baseType="lpstr">
      <vt:lpstr>Engr Sys</vt:lpstr>
      <vt:lpstr>Confidentiality</vt:lpstr>
      <vt:lpstr>Data</vt:lpstr>
      <vt:lpstr>AAP</vt:lpstr>
      <vt:lpstr>AAR</vt:lpstr>
      <vt:lpstr>AD</vt:lpstr>
      <vt:lpstr>Add</vt:lpstr>
      <vt:lpstr>Addr1</vt:lpstr>
      <vt:lpstr>Addr2</vt:lpstr>
      <vt:lpstr>AgeNew</vt:lpstr>
      <vt:lpstr>AgeParts</vt:lpstr>
      <vt:lpstr>AgeSH</vt:lpstr>
      <vt:lpstr>AgeUsed</vt:lpstr>
      <vt:lpstr>AP</vt:lpstr>
      <vt:lpstr>AR</vt:lpstr>
      <vt:lpstr>AVG</vt:lpstr>
      <vt:lpstr>AVG_2</vt:lpstr>
      <vt:lpstr>BENE</vt:lpstr>
      <vt:lpstr>BENE_Pct</vt:lpstr>
      <vt:lpstr>Burden_Pct</vt:lpstr>
      <vt:lpstr>CA</vt:lpstr>
      <vt:lpstr>CA_2</vt:lpstr>
      <vt:lpstr>Cash</vt:lpstr>
      <vt:lpstr>City</vt:lpstr>
      <vt:lpstr>CL</vt:lpstr>
      <vt:lpstr>COGS</vt:lpstr>
      <vt:lpstr>COGS_2</vt:lpstr>
      <vt:lpstr>COGS_Counter</vt:lpstr>
      <vt:lpstr>COGS_ES</vt:lpstr>
      <vt:lpstr>COGS_Install</vt:lpstr>
      <vt:lpstr>COGS_New</vt:lpstr>
      <vt:lpstr>COGS_OTH</vt:lpstr>
      <vt:lpstr>COGS_Rent</vt:lpstr>
      <vt:lpstr>COGS_SH</vt:lpstr>
      <vt:lpstr>COGS_SVC</vt:lpstr>
      <vt:lpstr>COGS_Used</vt:lpstr>
      <vt:lpstr>CSH</vt:lpstr>
      <vt:lpstr>CUST</vt:lpstr>
      <vt:lpstr>DownPmt</vt:lpstr>
      <vt:lpstr>DPR</vt:lpstr>
      <vt:lpstr>DROP</vt:lpstr>
      <vt:lpstr>eaddr</vt:lpstr>
      <vt:lpstr>Emp</vt:lpstr>
      <vt:lpstr>EMP_Exec</vt:lpstr>
      <vt:lpstr>EMP_Inside</vt:lpstr>
      <vt:lpstr>EMP_Out</vt:lpstr>
      <vt:lpstr>EMP_Parts</vt:lpstr>
      <vt:lpstr>EMP_PM</vt:lpstr>
      <vt:lpstr>EMP_Rental</vt:lpstr>
      <vt:lpstr>EMP_SVC</vt:lpstr>
      <vt:lpstr>EMP_Tech</vt:lpstr>
      <vt:lpstr>EMP_WHS</vt:lpstr>
      <vt:lpstr>End</vt:lpstr>
      <vt:lpstr>EngSys</vt:lpstr>
      <vt:lpstr>Eqty</vt:lpstr>
      <vt:lpstr>Equip</vt:lpstr>
      <vt:lpstr>FinalPmt</vt:lpstr>
      <vt:lpstr>Fixed</vt:lpstr>
      <vt:lpstr>GP</vt:lpstr>
      <vt:lpstr>GP_2</vt:lpstr>
      <vt:lpstr>GP_Counter</vt:lpstr>
      <vt:lpstr>GP_ES</vt:lpstr>
      <vt:lpstr>GP_Install</vt:lpstr>
      <vt:lpstr>GP_New</vt:lpstr>
      <vt:lpstr>GP_OTH</vt:lpstr>
      <vt:lpstr>GP_Rent</vt:lpstr>
      <vt:lpstr>GP_Repair</vt:lpstr>
      <vt:lpstr>GP_SH</vt:lpstr>
      <vt:lpstr>GP_SVC</vt:lpstr>
      <vt:lpstr>GP_Used</vt:lpstr>
      <vt:lpstr>GP_Warranty</vt:lpstr>
      <vt:lpstr>GRP_INS</vt:lpstr>
      <vt:lpstr>Grp_Pct</vt:lpstr>
      <vt:lpstr>ID</vt:lpstr>
      <vt:lpstr>Ins</vt:lpstr>
      <vt:lpstr>Int</vt:lpstr>
      <vt:lpstr>IntParts</vt:lpstr>
      <vt:lpstr>IntSvc</vt:lpstr>
      <vt:lpstr>Inv</vt:lpstr>
      <vt:lpstr>INV_2</vt:lpstr>
      <vt:lpstr>Liab</vt:lpstr>
      <vt:lpstr>LIFO</vt:lpstr>
      <vt:lpstr>Loan</vt:lpstr>
      <vt:lpstr>LTL</vt:lpstr>
      <vt:lpstr>LTrucks</vt:lpstr>
      <vt:lpstr>MIS</vt:lpstr>
      <vt:lpstr>Name</vt:lpstr>
      <vt:lpstr>Net</vt:lpstr>
      <vt:lpstr>NEWINV</vt:lpstr>
      <vt:lpstr>NP</vt:lpstr>
      <vt:lpstr>NS</vt:lpstr>
      <vt:lpstr>NS_Counter</vt:lpstr>
      <vt:lpstr>NS_ES</vt:lpstr>
      <vt:lpstr>NS_Install</vt:lpstr>
      <vt:lpstr>NS_New</vt:lpstr>
      <vt:lpstr>NS_OTH</vt:lpstr>
      <vt:lpstr>NS_RENT</vt:lpstr>
      <vt:lpstr>NS_SH</vt:lpstr>
      <vt:lpstr>NS_SVC</vt:lpstr>
      <vt:lpstr>NS_Used</vt:lpstr>
      <vt:lpstr>NW</vt:lpstr>
      <vt:lpstr>NW_2</vt:lpstr>
      <vt:lpstr>OC</vt:lpstr>
      <vt:lpstr>OC_GA</vt:lpstr>
      <vt:lpstr>OC_Parts</vt:lpstr>
      <vt:lpstr>OC_Rental</vt:lpstr>
      <vt:lpstr>OC_Sales</vt:lpstr>
      <vt:lpstr>OC_SVC</vt:lpstr>
      <vt:lpstr>Oca</vt:lpstr>
      <vt:lpstr>Ocl</vt:lpstr>
      <vt:lpstr>OCOGS</vt:lpstr>
      <vt:lpstr>OE</vt:lpstr>
      <vt:lpstr>OE_GA</vt:lpstr>
      <vt:lpstr>OE_Parts</vt:lpstr>
      <vt:lpstr>OE_Rental</vt:lpstr>
      <vt:lpstr>OE_Sales</vt:lpstr>
      <vt:lpstr>OE_SVC</vt:lpstr>
      <vt:lpstr>Oemp</vt:lpstr>
      <vt:lpstr>Oex</vt:lpstr>
      <vt:lpstr>OFA</vt:lpstr>
      <vt:lpstr>OI</vt:lpstr>
      <vt:lpstr>OINV</vt:lpstr>
      <vt:lpstr>OP</vt:lpstr>
      <vt:lpstr>OP_2</vt:lpstr>
      <vt:lpstr>OPROD</vt:lpstr>
      <vt:lpstr>Org</vt:lpstr>
      <vt:lpstr>OSAL</vt:lpstr>
      <vt:lpstr>PA</vt:lpstr>
      <vt:lpstr>PA_Adjust</vt:lpstr>
      <vt:lpstr>PA_Exec</vt:lpstr>
      <vt:lpstr>PA_GA</vt:lpstr>
      <vt:lpstr>PA_Inside</vt:lpstr>
      <vt:lpstr>PA_OTH</vt:lpstr>
      <vt:lpstr>PA_Out</vt:lpstr>
      <vt:lpstr>PA_Parts</vt:lpstr>
      <vt:lpstr>PA_PM</vt:lpstr>
      <vt:lpstr>PA_Rental</vt:lpstr>
      <vt:lpstr>PA_Sales</vt:lpstr>
      <vt:lpstr>PA_SVC</vt:lpstr>
      <vt:lpstr>PA_Tech</vt:lpstr>
      <vt:lpstr>PA_WHS</vt:lpstr>
      <vt:lpstr>PARTSINV</vt:lpstr>
      <vt:lpstr>PBT</vt:lpstr>
      <vt:lpstr>PBT_2</vt:lpstr>
      <vt:lpstr>PDF</vt:lpstr>
      <vt:lpstr>Person</vt:lpstr>
      <vt:lpstr>Phone</vt:lpstr>
      <vt:lpstr>Prev</vt:lpstr>
      <vt:lpstr>Confidentiality!Print_Area</vt:lpstr>
      <vt:lpstr>Data!Print_Area</vt:lpstr>
      <vt:lpstr>'Engr Sys'!Print_Area</vt:lpstr>
      <vt:lpstr>PT</vt:lpstr>
      <vt:lpstr>PT_Pct</vt:lpstr>
      <vt:lpstr>Rent</vt:lpstr>
      <vt:lpstr>RentalCost</vt:lpstr>
      <vt:lpstr>RM</vt:lpstr>
      <vt:lpstr>SAL</vt:lpstr>
      <vt:lpstr>SAL_TOT</vt:lpstr>
      <vt:lpstr>SH</vt:lpstr>
      <vt:lpstr>State</vt:lpstr>
      <vt:lpstr>STOCK</vt:lpstr>
      <vt:lpstr>STunits</vt:lpstr>
      <vt:lpstr>STutil</vt:lpstr>
      <vt:lpstr>STvalue</vt:lpstr>
      <vt:lpstr>SvcCalls</vt:lpstr>
      <vt:lpstr>SvcJobs</vt:lpstr>
      <vt:lpstr>SvcRecover</vt:lpstr>
      <vt:lpstr>SvcVeh_</vt:lpstr>
      <vt:lpstr>TA</vt:lpstr>
      <vt:lpstr>TA_2</vt:lpstr>
      <vt:lpstr>Tax</vt:lpstr>
      <vt:lpstr>TE</vt:lpstr>
      <vt:lpstr>TechApplied</vt:lpstr>
      <vt:lpstr>TechBilled</vt:lpstr>
      <vt:lpstr>TechPaid</vt:lpstr>
      <vt:lpstr>TechWages</vt:lpstr>
      <vt:lpstr>Tele</vt:lpstr>
      <vt:lpstr>Title</vt:lpstr>
      <vt:lpstr>TOE</vt:lpstr>
      <vt:lpstr>TRN</vt:lpstr>
      <vt:lpstr>USEDINV</vt:lpstr>
      <vt:lpstr>UT</vt:lpstr>
      <vt:lpstr>VEH</vt:lpstr>
      <vt:lpstr>WHSCOGS</vt:lpstr>
      <vt:lpstr>WHSGP</vt:lpstr>
      <vt:lpstr>WHSNS</vt:lpstr>
      <vt:lpstr>Yr</vt:lpstr>
      <vt:lpstr>Zipcode</vt:lpstr>
    </vt:vector>
  </TitlesOfParts>
  <Company>Bates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Mackay</dc:creator>
  <cp:lastModifiedBy>Taylor Mackay</cp:lastModifiedBy>
  <cp:lastPrinted>2019-01-14T02:38:58Z</cp:lastPrinted>
  <dcterms:created xsi:type="dcterms:W3CDTF">2000-09-29T21:49:52Z</dcterms:created>
  <dcterms:modified xsi:type="dcterms:W3CDTF">2025-04-23T16:43:39Z</dcterms:modified>
</cp:coreProperties>
</file>